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465" windowWidth="20730" windowHeight="11760"/>
  </bookViews>
  <sheets>
    <sheet name="Año 1" sheetId="1" r:id="rId1"/>
    <sheet name="Año 2" sheetId="4" r:id="rId2"/>
    <sheet name="Año 3" sheetId="7" r:id="rId3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9" i="7"/>
  <c r="O482" s="1"/>
  <c r="O538" l="1"/>
  <c r="O537"/>
  <c r="O533"/>
  <c r="O532"/>
  <c r="O529"/>
  <c r="O528"/>
  <c r="O527"/>
  <c r="O526"/>
  <c r="O525"/>
  <c r="F132" l="1"/>
  <c r="F131"/>
  <c r="F130"/>
  <c r="F129"/>
  <c r="F128"/>
  <c r="F127"/>
  <c r="F126"/>
  <c r="F125"/>
  <c r="E132"/>
  <c r="E131"/>
  <c r="E130"/>
  <c r="E129"/>
  <c r="E128"/>
  <c r="E127"/>
  <c r="E126"/>
  <c r="E125"/>
  <c r="D132"/>
  <c r="D131"/>
  <c r="D130"/>
  <c r="D129"/>
  <c r="D128"/>
  <c r="D127"/>
  <c r="D126"/>
  <c r="C132"/>
  <c r="C131"/>
  <c r="C130"/>
  <c r="C129"/>
  <c r="C128"/>
  <c r="C127"/>
  <c r="C126"/>
  <c r="C125"/>
  <c r="F119"/>
  <c r="E119"/>
  <c r="D119"/>
  <c r="C119"/>
  <c r="F118"/>
  <c r="E118"/>
  <c r="D118"/>
  <c r="C118"/>
  <c r="F117"/>
  <c r="E117"/>
  <c r="D117"/>
  <c r="C117"/>
  <c r="F116"/>
  <c r="E116"/>
  <c r="D116"/>
  <c r="C116"/>
  <c r="F115"/>
  <c r="E115"/>
  <c r="D115"/>
  <c r="C115"/>
  <c r="F114"/>
  <c r="E114"/>
  <c r="D114"/>
  <c r="C114"/>
  <c r="F113"/>
  <c r="E113"/>
  <c r="D113"/>
  <c r="C113"/>
  <c r="F112"/>
  <c r="E112"/>
  <c r="D112"/>
  <c r="C112"/>
  <c r="F106"/>
  <c r="E106"/>
  <c r="D106"/>
  <c r="C106"/>
  <c r="F105"/>
  <c r="E105"/>
  <c r="D105"/>
  <c r="C105"/>
  <c r="F104"/>
  <c r="E104"/>
  <c r="D104"/>
  <c r="C104"/>
  <c r="F103"/>
  <c r="E103"/>
  <c r="D103"/>
  <c r="C103"/>
  <c r="F102"/>
  <c r="E102"/>
  <c r="D102"/>
  <c r="C102"/>
  <c r="F101"/>
  <c r="E101"/>
  <c r="D101"/>
  <c r="C101"/>
  <c r="F100"/>
  <c r="E100"/>
  <c r="D100"/>
  <c r="C100"/>
  <c r="F272"/>
  <c r="F257"/>
  <c r="F287"/>
  <c r="F134" l="1"/>
  <c r="G137" s="1"/>
  <c r="I465" l="1"/>
  <c r="D465"/>
  <c r="K465" s="1"/>
  <c r="I464"/>
  <c r="D464"/>
  <c r="K464" s="1"/>
  <c r="I463"/>
  <c r="D463"/>
  <c r="K463" s="1"/>
  <c r="I462"/>
  <c r="D462"/>
  <c r="K462" s="1"/>
  <c r="I461"/>
  <c r="D461"/>
  <c r="K461" s="1"/>
  <c r="I460"/>
  <c r="D460"/>
  <c r="K460" s="1"/>
  <c r="I459"/>
  <c r="D459"/>
  <c r="K459" s="1"/>
  <c r="I458"/>
  <c r="D458"/>
  <c r="K458" s="1"/>
  <c r="I451"/>
  <c r="D451"/>
  <c r="K451" s="1"/>
  <c r="I450"/>
  <c r="D450"/>
  <c r="K450" s="1"/>
  <c r="I449"/>
  <c r="D449"/>
  <c r="K449" s="1"/>
  <c r="I448"/>
  <c r="D448"/>
  <c r="K448" s="1"/>
  <c r="I447"/>
  <c r="D447"/>
  <c r="K447" s="1"/>
  <c r="I446"/>
  <c r="D446"/>
  <c r="K446" s="1"/>
  <c r="I445"/>
  <c r="D445"/>
  <c r="K445" s="1"/>
  <c r="I444"/>
  <c r="D444"/>
  <c r="K444" s="1"/>
  <c r="I437"/>
  <c r="D437"/>
  <c r="K437" s="1"/>
  <c r="I436"/>
  <c r="D436"/>
  <c r="K436" s="1"/>
  <c r="I435"/>
  <c r="D435"/>
  <c r="K435" s="1"/>
  <c r="I434"/>
  <c r="D434"/>
  <c r="K434" s="1"/>
  <c r="I433"/>
  <c r="D433"/>
  <c r="K433" s="1"/>
  <c r="I432"/>
  <c r="D432"/>
  <c r="K432" s="1"/>
  <c r="I431"/>
  <c r="D431"/>
  <c r="K431" s="1"/>
  <c r="I430"/>
  <c r="D430"/>
  <c r="K430" s="1"/>
  <c r="H421"/>
  <c r="F421"/>
  <c r="E421"/>
  <c r="H420"/>
  <c r="F420"/>
  <c r="E420"/>
  <c r="H419"/>
  <c r="F419"/>
  <c r="E419"/>
  <c r="H418"/>
  <c r="F418"/>
  <c r="E418"/>
  <c r="H417"/>
  <c r="F417"/>
  <c r="E417"/>
  <c r="H416"/>
  <c r="F416"/>
  <c r="E416"/>
  <c r="H415"/>
  <c r="F415"/>
  <c r="E415"/>
  <c r="H414"/>
  <c r="F414"/>
  <c r="E414"/>
  <c r="H407"/>
  <c r="F407"/>
  <c r="E407"/>
  <c r="H406"/>
  <c r="F406"/>
  <c r="E406"/>
  <c r="H405"/>
  <c r="F405"/>
  <c r="E405"/>
  <c r="H404"/>
  <c r="F404"/>
  <c r="E404"/>
  <c r="H403"/>
  <c r="F403"/>
  <c r="E403"/>
  <c r="H402"/>
  <c r="F402"/>
  <c r="E402"/>
  <c r="H401"/>
  <c r="F401"/>
  <c r="E401"/>
  <c r="H400"/>
  <c r="F400"/>
  <c r="E400"/>
  <c r="H393"/>
  <c r="F393"/>
  <c r="E393"/>
  <c r="H392"/>
  <c r="F392"/>
  <c r="E392"/>
  <c r="H391"/>
  <c r="F391"/>
  <c r="E391"/>
  <c r="H390"/>
  <c r="F390"/>
  <c r="E390"/>
  <c r="H389"/>
  <c r="F389"/>
  <c r="E389"/>
  <c r="H388"/>
  <c r="F388"/>
  <c r="E388"/>
  <c r="H387"/>
  <c r="F387"/>
  <c r="E387"/>
  <c r="H386"/>
  <c r="F386"/>
  <c r="E386"/>
  <c r="E343" l="1"/>
  <c r="E342"/>
  <c r="E341"/>
  <c r="L298" l="1"/>
  <c r="L297"/>
  <c r="L296"/>
  <c r="L295"/>
  <c r="L294"/>
  <c r="L293"/>
  <c r="L292"/>
  <c r="L291"/>
  <c r="L283"/>
  <c r="L282"/>
  <c r="L281"/>
  <c r="L280"/>
  <c r="L279"/>
  <c r="L278"/>
  <c r="L277"/>
  <c r="L276"/>
  <c r="N166" i="4" l="1"/>
  <c r="O168"/>
  <c r="O156"/>
  <c r="O514" i="7" s="1"/>
  <c r="O138" i="4"/>
  <c r="C99" i="7" l="1"/>
  <c r="D99"/>
  <c r="E99"/>
  <c r="F99"/>
  <c r="K217" l="1"/>
  <c r="K216"/>
  <c r="K215"/>
  <c r="K214"/>
  <c r="K213"/>
  <c r="K212"/>
  <c r="K211"/>
  <c r="E466" l="1"/>
  <c r="G455"/>
  <c r="E455"/>
  <c r="C455"/>
  <c r="G441"/>
  <c r="E441"/>
  <c r="C441"/>
  <c r="E452"/>
  <c r="G427"/>
  <c r="E427"/>
  <c r="C427"/>
  <c r="H410"/>
  <c r="H455" s="1"/>
  <c r="H396"/>
  <c r="H441" s="1"/>
  <c r="E374"/>
  <c r="I452" l="1"/>
  <c r="I438"/>
  <c r="I466"/>
  <c r="D466"/>
  <c r="K466"/>
  <c r="D438"/>
  <c r="K438"/>
  <c r="D452"/>
  <c r="K452"/>
  <c r="J471" l="1"/>
  <c r="C471"/>
  <c r="H471"/>
  <c r="G488" s="1"/>
  <c r="H382"/>
  <c r="H427" s="1"/>
  <c r="L173"/>
  <c r="L172"/>
  <c r="L171"/>
  <c r="L170"/>
  <c r="L169"/>
  <c r="L168"/>
  <c r="L167"/>
  <c r="L166"/>
  <c r="L165"/>
  <c r="H67"/>
  <c r="I24"/>
  <c r="J24" s="1"/>
  <c r="I23"/>
  <c r="I22"/>
  <c r="I21"/>
  <c r="I20"/>
  <c r="I19"/>
  <c r="I18"/>
  <c r="I17"/>
  <c r="I16"/>
  <c r="I15"/>
  <c r="I14"/>
  <c r="I13"/>
  <c r="I12"/>
  <c r="G24"/>
  <c r="H24" s="1"/>
  <c r="G23"/>
  <c r="G22"/>
  <c r="G21"/>
  <c r="G20"/>
  <c r="G19"/>
  <c r="G18"/>
  <c r="G17"/>
  <c r="G16"/>
  <c r="G15"/>
  <c r="G14"/>
  <c r="G13"/>
  <c r="G12"/>
  <c r="E24"/>
  <c r="F24" s="1"/>
  <c r="F23"/>
  <c r="E23"/>
  <c r="F22"/>
  <c r="F42" s="1"/>
  <c r="E22"/>
  <c r="F21"/>
  <c r="F41" s="1"/>
  <c r="E21"/>
  <c r="F20"/>
  <c r="F40" s="1"/>
  <c r="E20"/>
  <c r="F19"/>
  <c r="E19"/>
  <c r="F18"/>
  <c r="F38" s="1"/>
  <c r="E18"/>
  <c r="F17"/>
  <c r="F37" s="1"/>
  <c r="E17"/>
  <c r="F16"/>
  <c r="F36" s="1"/>
  <c r="E16"/>
  <c r="F15"/>
  <c r="E15"/>
  <c r="E13"/>
  <c r="F13"/>
  <c r="F33" s="1"/>
  <c r="E14"/>
  <c r="F14"/>
  <c r="F34" s="1"/>
  <c r="F12"/>
  <c r="F32" s="1"/>
  <c r="E12"/>
  <c r="K299"/>
  <c r="C291"/>
  <c r="D291"/>
  <c r="E291"/>
  <c r="F291"/>
  <c r="C292"/>
  <c r="D292"/>
  <c r="E292"/>
  <c r="F292"/>
  <c r="C293"/>
  <c r="D293"/>
  <c r="E293"/>
  <c r="F293"/>
  <c r="C294"/>
  <c r="D294"/>
  <c r="E294"/>
  <c r="F294"/>
  <c r="C295"/>
  <c r="D295"/>
  <c r="E295"/>
  <c r="F295"/>
  <c r="C296"/>
  <c r="D296"/>
  <c r="E296"/>
  <c r="F296"/>
  <c r="C297"/>
  <c r="D297"/>
  <c r="E297"/>
  <c r="F297"/>
  <c r="C298"/>
  <c r="D298"/>
  <c r="E298"/>
  <c r="F298"/>
  <c r="I295"/>
  <c r="I298"/>
  <c r="I296"/>
  <c r="H298"/>
  <c r="I291"/>
  <c r="I292"/>
  <c r="I293"/>
  <c r="I294"/>
  <c r="I297"/>
  <c r="H297"/>
  <c r="H291"/>
  <c r="H292"/>
  <c r="H293"/>
  <c r="H294"/>
  <c r="H295"/>
  <c r="H296"/>
  <c r="L174" l="1"/>
  <c r="F330" s="1"/>
  <c r="C421"/>
  <c r="C465" s="1"/>
  <c r="C420"/>
  <c r="C464" s="1"/>
  <c r="C419"/>
  <c r="C463" s="1"/>
  <c r="C418"/>
  <c r="C462" s="1"/>
  <c r="C417"/>
  <c r="C461" s="1"/>
  <c r="C416"/>
  <c r="C460" s="1"/>
  <c r="C415"/>
  <c r="C459" s="1"/>
  <c r="C414"/>
  <c r="C458" s="1"/>
  <c r="H23"/>
  <c r="H21" s="1"/>
  <c r="H41" s="1"/>
  <c r="H19"/>
  <c r="H17" s="1"/>
  <c r="H37" s="1"/>
  <c r="H15"/>
  <c r="H12" s="1"/>
  <c r="H32" s="1"/>
  <c r="J23"/>
  <c r="J22" s="1"/>
  <c r="J42" s="1"/>
  <c r="J19"/>
  <c r="J16" s="1"/>
  <c r="J36" s="1"/>
  <c r="J15"/>
  <c r="J12" s="1"/>
  <c r="J32" s="1"/>
  <c r="I287"/>
  <c r="K284"/>
  <c r="K269"/>
  <c r="F283"/>
  <c r="E283"/>
  <c r="D283"/>
  <c r="C283"/>
  <c r="F282"/>
  <c r="E282"/>
  <c r="D282"/>
  <c r="C282"/>
  <c r="F281"/>
  <c r="E281"/>
  <c r="D281"/>
  <c r="C281"/>
  <c r="F280"/>
  <c r="E280"/>
  <c r="D280"/>
  <c r="C280"/>
  <c r="F279"/>
  <c r="E279"/>
  <c r="D279"/>
  <c r="C279"/>
  <c r="F278"/>
  <c r="E278"/>
  <c r="D278"/>
  <c r="C278"/>
  <c r="F277"/>
  <c r="E277"/>
  <c r="D277"/>
  <c r="C277"/>
  <c r="F276"/>
  <c r="E276"/>
  <c r="D276"/>
  <c r="C276"/>
  <c r="F268"/>
  <c r="E268"/>
  <c r="D268"/>
  <c r="C268"/>
  <c r="F267"/>
  <c r="E267"/>
  <c r="D267"/>
  <c r="C267"/>
  <c r="F266"/>
  <c r="E266"/>
  <c r="D266"/>
  <c r="C266"/>
  <c r="F265"/>
  <c r="E265"/>
  <c r="D265"/>
  <c r="C265"/>
  <c r="F264"/>
  <c r="E264"/>
  <c r="D264"/>
  <c r="C264"/>
  <c r="F263"/>
  <c r="E263"/>
  <c r="D263"/>
  <c r="C263"/>
  <c r="F262"/>
  <c r="E262"/>
  <c r="D262"/>
  <c r="C262"/>
  <c r="F261"/>
  <c r="E261"/>
  <c r="D261"/>
  <c r="C261"/>
  <c r="H283"/>
  <c r="H282"/>
  <c r="H281"/>
  <c r="H280"/>
  <c r="H279"/>
  <c r="H278"/>
  <c r="H277"/>
  <c r="H276"/>
  <c r="H268"/>
  <c r="H267"/>
  <c r="H266"/>
  <c r="H265"/>
  <c r="H264"/>
  <c r="H263"/>
  <c r="H262"/>
  <c r="I280"/>
  <c r="I277"/>
  <c r="I267"/>
  <c r="I264"/>
  <c r="I283"/>
  <c r="I282"/>
  <c r="I281"/>
  <c r="I279"/>
  <c r="I276"/>
  <c r="I266"/>
  <c r="I262"/>
  <c r="H261"/>
  <c r="I268"/>
  <c r="I265"/>
  <c r="I261"/>
  <c r="I278"/>
  <c r="I263"/>
  <c r="C403" l="1"/>
  <c r="C447" s="1"/>
  <c r="C404"/>
  <c r="C448" s="1"/>
  <c r="C406"/>
  <c r="C450" s="1"/>
  <c r="C407"/>
  <c r="C451" s="1"/>
  <c r="C405"/>
  <c r="C449" s="1"/>
  <c r="C400"/>
  <c r="C444" s="1"/>
  <c r="C401"/>
  <c r="C445" s="1"/>
  <c r="C402"/>
  <c r="C446" s="1"/>
  <c r="C386"/>
  <c r="C430" s="1"/>
  <c r="C388"/>
  <c r="C432" s="1"/>
  <c r="C390"/>
  <c r="C434" s="1"/>
  <c r="C392"/>
  <c r="H20"/>
  <c r="H40" s="1"/>
  <c r="C387"/>
  <c r="C431" s="1"/>
  <c r="C389"/>
  <c r="C433" s="1"/>
  <c r="C391"/>
  <c r="C435" s="1"/>
  <c r="C393"/>
  <c r="C437" s="1"/>
  <c r="L267"/>
  <c r="L268"/>
  <c r="L265"/>
  <c r="L266"/>
  <c r="L263"/>
  <c r="L264"/>
  <c r="L261"/>
  <c r="L262"/>
  <c r="J20"/>
  <c r="J40" s="1"/>
  <c r="J21"/>
  <c r="J41" s="1"/>
  <c r="H16"/>
  <c r="H36" s="1"/>
  <c r="H22"/>
  <c r="H42" s="1"/>
  <c r="J14"/>
  <c r="J34" s="1"/>
  <c r="J13"/>
  <c r="J33" s="1"/>
  <c r="H13"/>
  <c r="H33" s="1"/>
  <c r="H14"/>
  <c r="H34" s="1"/>
  <c r="J17"/>
  <c r="J37" s="1"/>
  <c r="J18"/>
  <c r="J38" s="1"/>
  <c r="H18"/>
  <c r="H38" s="1"/>
  <c r="L299"/>
  <c r="I272"/>
  <c r="I257"/>
  <c r="E438"/>
  <c r="D471" s="1"/>
  <c r="H35" l="1"/>
  <c r="G35" s="1"/>
  <c r="J39"/>
  <c r="I39" s="1"/>
  <c r="H43"/>
  <c r="G43" s="1"/>
  <c r="H39"/>
  <c r="G39" s="1"/>
  <c r="J35"/>
  <c r="I35" s="1"/>
  <c r="J43"/>
  <c r="I43" s="1"/>
  <c r="C436"/>
  <c r="L284"/>
  <c r="L269"/>
  <c r="J44" l="1"/>
  <c r="I44" s="1"/>
  <c r="H44"/>
  <c r="G44" s="1"/>
  <c r="F39"/>
  <c r="E39" s="1"/>
  <c r="F43"/>
  <c r="E43" s="1"/>
  <c r="F35"/>
  <c r="F44" l="1"/>
  <c r="E44" s="1"/>
  <c r="E35"/>
  <c r="D134" l="1"/>
  <c r="F78" i="4" l="1"/>
  <c r="D287" i="7" s="1"/>
  <c r="F410" s="1"/>
  <c r="F455" s="1"/>
  <c r="D78" i="4"/>
  <c r="C287" i="7" s="1"/>
  <c r="D410" s="1"/>
  <c r="D455" s="1"/>
  <c r="AB292" l="1"/>
  <c r="AB291"/>
  <c r="AB298"/>
  <c r="AB295"/>
  <c r="AB297"/>
  <c r="H287"/>
  <c r="AB294"/>
  <c r="AB293"/>
  <c r="AB296"/>
  <c r="D122"/>
  <c r="G156" s="1"/>
  <c r="F122"/>
  <c r="H156" s="1"/>
  <c r="G81" i="4"/>
  <c r="G298" i="7"/>
  <c r="G297"/>
  <c r="J297" l="1"/>
  <c r="J298"/>
  <c r="M298"/>
  <c r="D421"/>
  <c r="G421" s="1"/>
  <c r="M297"/>
  <c r="D420"/>
  <c r="G420" s="1"/>
  <c r="H45" i="1"/>
  <c r="H44"/>
  <c r="H43"/>
  <c r="G295" i="7"/>
  <c r="G291"/>
  <c r="M287"/>
  <c r="G296"/>
  <c r="G294"/>
  <c r="G293"/>
  <c r="G292"/>
  <c r="J292" l="1"/>
  <c r="D415" s="1"/>
  <c r="G415" s="1"/>
  <c r="L459" s="1"/>
  <c r="J293"/>
  <c r="D416" s="1"/>
  <c r="G416" s="1"/>
  <c r="J294"/>
  <c r="J296"/>
  <c r="D419" s="1"/>
  <c r="G419" s="1"/>
  <c r="J291"/>
  <c r="M291" s="1"/>
  <c r="J295"/>
  <c r="D418" s="1"/>
  <c r="G418" s="1"/>
  <c r="L462" s="1"/>
  <c r="H460"/>
  <c r="L460"/>
  <c r="H463"/>
  <c r="L463"/>
  <c r="H465"/>
  <c r="L465"/>
  <c r="M292"/>
  <c r="H464"/>
  <c r="L464"/>
  <c r="M296"/>
  <c r="M299" l="1"/>
  <c r="D417"/>
  <c r="G417" s="1"/>
  <c r="M294"/>
  <c r="M295"/>
  <c r="M293"/>
  <c r="H462"/>
  <c r="D414"/>
  <c r="G414" s="1"/>
  <c r="H459"/>
  <c r="H458"/>
  <c r="L458"/>
  <c r="L466" s="1"/>
  <c r="S35" i="1"/>
  <c r="S26" s="1"/>
  <c r="Q35"/>
  <c r="O35"/>
  <c r="O34" s="1"/>
  <c r="Q26"/>
  <c r="Q25" s="1"/>
  <c r="O30"/>
  <c r="O27" s="1"/>
  <c r="Q30"/>
  <c r="Q28" s="1"/>
  <c r="Q34"/>
  <c r="Q32" s="1"/>
  <c r="L461" i="7" l="1"/>
  <c r="H461"/>
  <c r="O32" i="1"/>
  <c r="O31"/>
  <c r="Q29"/>
  <c r="O26"/>
  <c r="O23" s="1"/>
  <c r="Q33"/>
  <c r="O29"/>
  <c r="O28"/>
  <c r="Q23"/>
  <c r="S25"/>
  <c r="S23"/>
  <c r="S24"/>
  <c r="S34"/>
  <c r="S33" s="1"/>
  <c r="S30"/>
  <c r="S29" s="1"/>
  <c r="Q24"/>
  <c r="O33"/>
  <c r="Q31"/>
  <c r="S28"/>
  <c r="Q27"/>
  <c r="S31" l="1"/>
  <c r="S27"/>
  <c r="O25"/>
  <c r="O24"/>
  <c r="S32"/>
  <c r="O126" i="4"/>
  <c r="O134"/>
  <c r="O147"/>
  <c r="O148" s="1"/>
  <c r="O151"/>
  <c r="O152" l="1"/>
  <c r="G511" i="7" l="1"/>
  <c r="N167" i="4" l="1"/>
  <c r="S104" i="1"/>
  <c r="O524" i="7" l="1"/>
  <c r="O539" l="1"/>
  <c r="O530"/>
  <c r="K210" l="1"/>
  <c r="G501"/>
  <c r="D212"/>
  <c r="E212" s="1"/>
  <c r="D211"/>
  <c r="E211" s="1"/>
  <c r="D210"/>
  <c r="E210" s="1"/>
  <c r="H158" i="4" l="1"/>
  <c r="H149"/>
  <c r="H138"/>
  <c r="H134"/>
  <c r="G129"/>
  <c r="H127" s="1"/>
  <c r="G124"/>
  <c r="H121" s="1"/>
  <c r="H125" s="1"/>
  <c r="S84" i="1"/>
  <c r="G212" i="7"/>
  <c r="F210"/>
  <c r="F212"/>
  <c r="G210"/>
  <c r="F211"/>
  <c r="G211"/>
  <c r="H132" i="4" l="1"/>
  <c r="H147" s="1"/>
  <c r="H161" s="1"/>
  <c r="G162" s="1"/>
  <c r="H163" s="1"/>
  <c r="O157" s="1"/>
  <c r="O158" s="1"/>
  <c r="N529" i="7"/>
  <c r="G213" l="1"/>
  <c r="O490" s="1"/>
  <c r="N494" s="1"/>
  <c r="E112" i="4" l="1"/>
  <c r="E111"/>
  <c r="O180"/>
  <c r="O179"/>
  <c r="O175"/>
  <c r="O174"/>
  <c r="O171"/>
  <c r="O170"/>
  <c r="O167"/>
  <c r="O166"/>
  <c r="E110"/>
  <c r="H95" i="1"/>
  <c r="H86"/>
  <c r="O181" i="4" l="1"/>
  <c r="G61" i="1" l="1"/>
  <c r="H75" l="1"/>
  <c r="O508" i="7" l="1"/>
  <c r="O504"/>
  <c r="G510" l="1"/>
  <c r="N537"/>
  <c r="O483"/>
  <c r="N532" l="1"/>
  <c r="G513"/>
  <c r="G508"/>
  <c r="N533" s="1"/>
  <c r="D65" i="4" l="1"/>
  <c r="C272" i="7" s="1"/>
  <c r="D396" s="1"/>
  <c r="D441" s="1"/>
  <c r="AB277" l="1"/>
  <c r="AB278"/>
  <c r="AB276"/>
  <c r="H272"/>
  <c r="AB283"/>
  <c r="AB281"/>
  <c r="AB282"/>
  <c r="AB280"/>
  <c r="AB279"/>
  <c r="D109"/>
  <c r="G155" s="1"/>
  <c r="H188"/>
  <c r="H187"/>
  <c r="H186"/>
  <c r="H185"/>
  <c r="H184"/>
  <c r="H182"/>
  <c r="H183"/>
  <c r="N172" i="4" l="1"/>
  <c r="S71" i="1"/>
  <c r="S122"/>
  <c r="O185" i="4" s="1"/>
  <c r="N181"/>
  <c r="S118" i="1"/>
  <c r="S88"/>
  <c r="S85"/>
  <c r="H71"/>
  <c r="S63"/>
  <c r="G66"/>
  <c r="H64" s="1"/>
  <c r="G282" i="7"/>
  <c r="G283"/>
  <c r="G280"/>
  <c r="G279"/>
  <c r="G276"/>
  <c r="G281"/>
  <c r="M272"/>
  <c r="G278"/>
  <c r="G277"/>
  <c r="J277" l="1"/>
  <c r="J278"/>
  <c r="D402" s="1"/>
  <c r="G402" s="1"/>
  <c r="J281"/>
  <c r="J276"/>
  <c r="D400" s="1"/>
  <c r="G400" s="1"/>
  <c r="J279"/>
  <c r="M279" s="1"/>
  <c r="J280"/>
  <c r="D404" s="1"/>
  <c r="G404" s="1"/>
  <c r="J283"/>
  <c r="J282"/>
  <c r="D406" s="1"/>
  <c r="G406" s="1"/>
  <c r="D403"/>
  <c r="G403" s="1"/>
  <c r="M280"/>
  <c r="D405"/>
  <c r="G405" s="1"/>
  <c r="M281"/>
  <c r="M276"/>
  <c r="D401"/>
  <c r="G401" s="1"/>
  <c r="M277"/>
  <c r="M278"/>
  <c r="M283"/>
  <c r="D407"/>
  <c r="G407" s="1"/>
  <c r="M282"/>
  <c r="S109" i="1"/>
  <c r="O172" i="4" s="1"/>
  <c r="O169"/>
  <c r="S89" i="1"/>
  <c r="H58"/>
  <c r="H62" s="1"/>
  <c r="H69" s="1"/>
  <c r="O509" i="7"/>
  <c r="H516"/>
  <c r="M284" l="1"/>
  <c r="H446"/>
  <c r="L446"/>
  <c r="H444"/>
  <c r="L444"/>
  <c r="H448"/>
  <c r="L448"/>
  <c r="H450"/>
  <c r="L450"/>
  <c r="H451"/>
  <c r="L451"/>
  <c r="H445"/>
  <c r="L445"/>
  <c r="H449"/>
  <c r="L449"/>
  <c r="H447"/>
  <c r="L447"/>
  <c r="H84" i="1"/>
  <c r="H98" s="1"/>
  <c r="G99" s="1"/>
  <c r="S75" s="1"/>
  <c r="H466" i="7" l="1"/>
  <c r="L452"/>
  <c r="H100" i="1"/>
  <c r="S94" l="1"/>
  <c r="S95" s="1"/>
  <c r="M367" i="7"/>
  <c r="L367"/>
  <c r="K367"/>
  <c r="M366"/>
  <c r="L366"/>
  <c r="K366"/>
  <c r="M368"/>
  <c r="L368"/>
  <c r="K368"/>
  <c r="M360"/>
  <c r="L360"/>
  <c r="K360"/>
  <c r="M359"/>
  <c r="L359"/>
  <c r="K359"/>
  <c r="M361"/>
  <c r="L361"/>
  <c r="K361"/>
  <c r="H22" i="4" l="1"/>
  <c r="S70" i="1" l="1"/>
  <c r="S113"/>
  <c r="S114" l="1"/>
  <c r="O176" i="4"/>
  <c r="S76" i="1"/>
  <c r="O177" i="4" l="1"/>
  <c r="S120" i="1"/>
  <c r="S124" l="1"/>
  <c r="S60" s="1"/>
  <c r="S66" s="1"/>
  <c r="S77" s="1"/>
  <c r="O183" i="4"/>
  <c r="G504" i="7"/>
  <c r="D52" i="4"/>
  <c r="C257" i="7" s="1"/>
  <c r="D382" s="1"/>
  <c r="D427" s="1"/>
  <c r="C212"/>
  <c r="C211"/>
  <c r="C210"/>
  <c r="H257" l="1"/>
  <c r="AB265"/>
  <c r="AB262"/>
  <c r="AB263"/>
  <c r="AB264"/>
  <c r="AB261"/>
  <c r="AB266"/>
  <c r="AB267"/>
  <c r="AB268"/>
  <c r="O187" i="4"/>
  <c r="D96" i="7"/>
  <c r="G154" s="1"/>
  <c r="H189"/>
  <c r="G503" s="1"/>
  <c r="D125"/>
  <c r="G263"/>
  <c r="G267"/>
  <c r="G262"/>
  <c r="G266"/>
  <c r="G265"/>
  <c r="G261"/>
  <c r="G264"/>
  <c r="G268"/>
  <c r="G498" l="1"/>
  <c r="J261"/>
  <c r="D386" s="1"/>
  <c r="G386" s="1"/>
  <c r="J267"/>
  <c r="D392" s="1"/>
  <c r="G392" s="1"/>
  <c r="J265"/>
  <c r="D390" s="1"/>
  <c r="G390" s="1"/>
  <c r="J263"/>
  <c r="D388" s="1"/>
  <c r="G388" s="1"/>
  <c r="J268"/>
  <c r="D393" s="1"/>
  <c r="G393" s="1"/>
  <c r="J266"/>
  <c r="D391" s="1"/>
  <c r="G391" s="1"/>
  <c r="J264"/>
  <c r="D389" s="1"/>
  <c r="G389" s="1"/>
  <c r="J262"/>
  <c r="D387" s="1"/>
  <c r="G387" s="1"/>
  <c r="N185" i="4"/>
  <c r="O543" i="7" s="1"/>
  <c r="F65" i="4"/>
  <c r="D272" i="7" s="1"/>
  <c r="F52" i="4"/>
  <c r="D257" i="7" s="1"/>
  <c r="F382" s="1"/>
  <c r="F427" s="1"/>
  <c r="M257"/>
  <c r="E376" l="1"/>
  <c r="F332"/>
  <c r="F331"/>
  <c r="H437"/>
  <c r="L437"/>
  <c r="H434"/>
  <c r="L434"/>
  <c r="H435"/>
  <c r="L435"/>
  <c r="H436"/>
  <c r="L436"/>
  <c r="H430"/>
  <c r="L430"/>
  <c r="H431"/>
  <c r="L431"/>
  <c r="H432"/>
  <c r="L432"/>
  <c r="H433"/>
  <c r="L433"/>
  <c r="G497"/>
  <c r="H452"/>
  <c r="F396"/>
  <c r="F441" s="1"/>
  <c r="M262"/>
  <c r="M263"/>
  <c r="M264"/>
  <c r="M265"/>
  <c r="M267"/>
  <c r="M266"/>
  <c r="M268"/>
  <c r="M261"/>
  <c r="F109"/>
  <c r="H155" s="1"/>
  <c r="G68" i="4"/>
  <c r="G55"/>
  <c r="F96" i="7"/>
  <c r="H154" s="1"/>
  <c r="G495" l="1"/>
  <c r="N495"/>
  <c r="M269"/>
  <c r="O133" i="4"/>
  <c r="N176"/>
  <c r="N177" l="1"/>
  <c r="N183" s="1"/>
  <c r="N187" s="1"/>
  <c r="O534" i="7"/>
  <c r="O535" s="1"/>
  <c r="O541" s="1"/>
  <c r="E344"/>
  <c r="O502" s="1"/>
  <c r="F333"/>
  <c r="O139" i="4"/>
  <c r="O491" i="7"/>
  <c r="L438"/>
  <c r="K471" s="1"/>
  <c r="N486" s="1"/>
  <c r="H438"/>
  <c r="G471" s="1"/>
  <c r="G486" s="1"/>
  <c r="O123" i="4" l="1"/>
  <c r="O129" s="1"/>
  <c r="O140" s="1"/>
  <c r="O545" i="7"/>
  <c r="N543" s="1"/>
  <c r="H17" i="1"/>
  <c r="O484" i="7" l="1"/>
  <c r="N528" s="1"/>
  <c r="F213"/>
  <c r="O489" l="1"/>
  <c r="E375" s="1"/>
  <c r="E378" s="1"/>
  <c r="F329"/>
  <c r="F334" s="1"/>
  <c r="G494"/>
  <c r="F335"/>
  <c r="G493" l="1"/>
  <c r="H492" s="1"/>
  <c r="N493"/>
  <c r="N534"/>
  <c r="N535" s="1"/>
  <c r="O492"/>
  <c r="N527" l="1"/>
  <c r="N538" l="1"/>
  <c r="N539" s="1"/>
  <c r="H507"/>
  <c r="E377" s="1"/>
  <c r="J386" l="1"/>
  <c r="M386" s="1"/>
  <c r="J420"/>
  <c r="M420" s="1"/>
  <c r="J415"/>
  <c r="M415" s="1"/>
  <c r="J404"/>
  <c r="M404" s="1"/>
  <c r="J400"/>
  <c r="M400" s="1"/>
  <c r="J419"/>
  <c r="M419" s="1"/>
  <c r="J389"/>
  <c r="M389" s="1"/>
  <c r="J417"/>
  <c r="M417" s="1"/>
  <c r="J393"/>
  <c r="M393" s="1"/>
  <c r="J388"/>
  <c r="M388" s="1"/>
  <c r="J406"/>
  <c r="M406" s="1"/>
  <c r="J390"/>
  <c r="M390" s="1"/>
  <c r="J407"/>
  <c r="M407" s="1"/>
  <c r="J403"/>
  <c r="M403" s="1"/>
  <c r="J416"/>
  <c r="M416" s="1"/>
  <c r="J418"/>
  <c r="M418" s="1"/>
  <c r="J414"/>
  <c r="M414" s="1"/>
  <c r="J387"/>
  <c r="M387" s="1"/>
  <c r="J405"/>
  <c r="M405" s="1"/>
  <c r="J402"/>
  <c r="M402" s="1"/>
  <c r="J391"/>
  <c r="M391" s="1"/>
  <c r="J392"/>
  <c r="M392" s="1"/>
  <c r="J401"/>
  <c r="M401" s="1"/>
  <c r="L386" l="1"/>
  <c r="G430" s="1"/>
  <c r="K386"/>
  <c r="N386"/>
  <c r="F430" s="1"/>
  <c r="L392"/>
  <c r="G436" s="1"/>
  <c r="K392"/>
  <c r="N392"/>
  <c r="F436" s="1"/>
  <c r="K403"/>
  <c r="N403"/>
  <c r="F447" s="1"/>
  <c r="L403"/>
  <c r="G447" s="1"/>
  <c r="K419"/>
  <c r="L419"/>
  <c r="G463" s="1"/>
  <c r="N419"/>
  <c r="F463" s="1"/>
  <c r="N414"/>
  <c r="F458" s="1"/>
  <c r="K414"/>
  <c r="L414"/>
  <c r="G458" s="1"/>
  <c r="L393"/>
  <c r="G437" s="1"/>
  <c r="K393"/>
  <c r="N393"/>
  <c r="F437" s="1"/>
  <c r="L400"/>
  <c r="G444" s="1"/>
  <c r="K400"/>
  <c r="N400"/>
  <c r="F444" s="1"/>
  <c r="L405"/>
  <c r="G449" s="1"/>
  <c r="K405"/>
  <c r="N405"/>
  <c r="F449" s="1"/>
  <c r="L387"/>
  <c r="G431" s="1"/>
  <c r="K387"/>
  <c r="N387"/>
  <c r="F431" s="1"/>
  <c r="N388"/>
  <c r="F432" s="1"/>
  <c r="K388"/>
  <c r="L388"/>
  <c r="G432" s="1"/>
  <c r="L420"/>
  <c r="G464" s="1"/>
  <c r="K420"/>
  <c r="N420"/>
  <c r="F464" s="1"/>
  <c r="K391"/>
  <c r="L391"/>
  <c r="G435" s="1"/>
  <c r="N391"/>
  <c r="F435" s="1"/>
  <c r="L407"/>
  <c r="G451" s="1"/>
  <c r="N407"/>
  <c r="F451" s="1"/>
  <c r="K407"/>
  <c r="L401"/>
  <c r="G445" s="1"/>
  <c r="N401"/>
  <c r="F445" s="1"/>
  <c r="K401"/>
  <c r="L402"/>
  <c r="G446" s="1"/>
  <c r="K402"/>
  <c r="N402"/>
  <c r="F446" s="1"/>
  <c r="K418"/>
  <c r="L418"/>
  <c r="G462" s="1"/>
  <c r="N418"/>
  <c r="F462" s="1"/>
  <c r="K390"/>
  <c r="N390"/>
  <c r="F434" s="1"/>
  <c r="L390"/>
  <c r="G434" s="1"/>
  <c r="J434" s="1"/>
  <c r="K417"/>
  <c r="L417"/>
  <c r="G461" s="1"/>
  <c r="N417"/>
  <c r="F461" s="1"/>
  <c r="L404"/>
  <c r="G448" s="1"/>
  <c r="K404"/>
  <c r="N404"/>
  <c r="F448" s="1"/>
  <c r="L416"/>
  <c r="G460" s="1"/>
  <c r="N416"/>
  <c r="F460" s="1"/>
  <c r="K416"/>
  <c r="L406"/>
  <c r="G450" s="1"/>
  <c r="N406"/>
  <c r="F450" s="1"/>
  <c r="K406"/>
  <c r="K389"/>
  <c r="L389"/>
  <c r="G433" s="1"/>
  <c r="N389"/>
  <c r="F433" s="1"/>
  <c r="K415"/>
  <c r="L415"/>
  <c r="G459" s="1"/>
  <c r="N415"/>
  <c r="F459" s="1"/>
  <c r="J448" l="1"/>
  <c r="J446"/>
  <c r="J464"/>
  <c r="J444"/>
  <c r="J458"/>
  <c r="J459"/>
  <c r="J445"/>
  <c r="J437"/>
  <c r="J436"/>
  <c r="J433"/>
  <c r="J450"/>
  <c r="J461"/>
  <c r="J462"/>
  <c r="J435"/>
  <c r="J463"/>
  <c r="J460"/>
  <c r="J432"/>
  <c r="J449"/>
  <c r="J451"/>
  <c r="J431"/>
  <c r="J447"/>
  <c r="J430"/>
  <c r="F438"/>
  <c r="G438"/>
  <c r="F452"/>
  <c r="J438" l="1"/>
  <c r="G452"/>
  <c r="J452"/>
  <c r="N526" l="1"/>
  <c r="J421" l="1"/>
  <c r="M421" s="1"/>
  <c r="N421" l="1"/>
  <c r="F465" s="1"/>
  <c r="F466" s="1"/>
  <c r="E471" s="1"/>
  <c r="G480" s="1"/>
  <c r="K421"/>
  <c r="L421"/>
  <c r="G465" s="1"/>
  <c r="G466" s="1"/>
  <c r="F471" s="1"/>
  <c r="G481" s="1"/>
  <c r="J465" l="1"/>
  <c r="J466" s="1"/>
  <c r="I471" s="1"/>
  <c r="G482"/>
  <c r="G487" s="1"/>
  <c r="H485" s="1"/>
  <c r="G502"/>
  <c r="H496" s="1"/>
  <c r="N525" l="1"/>
  <c r="H479"/>
  <c r="H483" s="1"/>
  <c r="N524" l="1"/>
  <c r="N530" s="1"/>
  <c r="N541" s="1"/>
  <c r="N545" s="1"/>
  <c r="O481" s="1"/>
  <c r="O487" s="1"/>
  <c r="H490"/>
  <c r="H505" s="1"/>
  <c r="H519" s="1"/>
  <c r="G520" l="1"/>
  <c r="O505" l="1"/>
  <c r="O506" s="1"/>
  <c r="O510" s="1"/>
  <c r="O496"/>
  <c r="O497" s="1"/>
  <c r="O498" s="1"/>
  <c r="H521"/>
  <c r="O515" s="1"/>
  <c r="O516" s="1"/>
</calcChain>
</file>

<file path=xl/sharedStrings.xml><?xml version="1.0" encoding="utf-8"?>
<sst xmlns="http://schemas.openxmlformats.org/spreadsheetml/2006/main" count="1076" uniqueCount="379">
  <si>
    <t>DECISIONES</t>
  </si>
  <si>
    <t>INFORMACIÓN</t>
  </si>
  <si>
    <t>BALANCE INICIAL</t>
  </si>
  <si>
    <t>Segmento</t>
  </si>
  <si>
    <t>Modelo</t>
  </si>
  <si>
    <t>Largo</t>
  </si>
  <si>
    <t>Ancho</t>
  </si>
  <si>
    <t>Alto</t>
  </si>
  <si>
    <t>S3</t>
  </si>
  <si>
    <t>S4</t>
  </si>
  <si>
    <t>Mínimo</t>
  </si>
  <si>
    <t>Máximo</t>
  </si>
  <si>
    <t>Los rangos mínimos y máximos de cada modelo, en función del segmento, son:</t>
  </si>
  <si>
    <t>Inversión (€)</t>
  </si>
  <si>
    <t>El nombre del modelo puede tener un máximo de 12 caracteres.</t>
  </si>
  <si>
    <t>Largo (cm)</t>
  </si>
  <si>
    <t>Ancho (cm)</t>
  </si>
  <si>
    <t>Alto (cm)</t>
  </si>
  <si>
    <t>Nombre de la empresa:</t>
  </si>
  <si>
    <t>Ubicación de la sede social:</t>
  </si>
  <si>
    <t>ACTIVO</t>
  </si>
  <si>
    <t>Tesorería</t>
  </si>
  <si>
    <t>Inversiones financieras</t>
  </si>
  <si>
    <t>Stocks</t>
  </si>
  <si>
    <t>Materias primas</t>
  </si>
  <si>
    <t>Productos terminados</t>
  </si>
  <si>
    <t>Terminales</t>
  </si>
  <si>
    <t>Instalaciones técnicas, maquinaria y utillaje</t>
  </si>
  <si>
    <t>Investigación y desarrollo</t>
  </si>
  <si>
    <t>Amortizaciones</t>
  </si>
  <si>
    <t>Crédito por impuesto de sociedades</t>
  </si>
  <si>
    <t>Total Activo</t>
  </si>
  <si>
    <t>PASIVO</t>
  </si>
  <si>
    <t>Proveedores</t>
  </si>
  <si>
    <t>Préstamos a corto plazo</t>
  </si>
  <si>
    <t>Impuesto de sociedades a pagar</t>
  </si>
  <si>
    <t>Préstamos a largo plazo</t>
  </si>
  <si>
    <t>Total Pasivo</t>
  </si>
  <si>
    <t>PATRIMONIO NETO</t>
  </si>
  <si>
    <t>Capital</t>
  </si>
  <si>
    <t>Resultados anteriores</t>
  </si>
  <si>
    <t>Total Patrimonio neto</t>
  </si>
  <si>
    <t>Créditos</t>
  </si>
  <si>
    <t>BALANCE DE SITUACIÓN</t>
  </si>
  <si>
    <t>CUENTA DE PÉRDIDAS Y GANANCIAS</t>
  </si>
  <si>
    <t>VENTAS</t>
  </si>
  <si>
    <t>Ingresos por ventas al PVP sin impuestos</t>
  </si>
  <si>
    <t>Margen de los concesionarios</t>
  </si>
  <si>
    <t>Ingresos por ventas de repuestos</t>
  </si>
  <si>
    <t>INGRESOS NETOS</t>
  </si>
  <si>
    <t>Coste de ventas</t>
  </si>
  <si>
    <t>Coste directo de producción por terminales</t>
  </si>
  <si>
    <t>Coste de respuestos</t>
  </si>
  <si>
    <t>Transporte hasta concesionarios</t>
  </si>
  <si>
    <t>Otros gastos de ventas</t>
  </si>
  <si>
    <t>Gastos generales</t>
  </si>
  <si>
    <t>RESULTADO BRUTO</t>
  </si>
  <si>
    <t>Gastos de estructura de la central</t>
  </si>
  <si>
    <t>Gastos de estructura de terminales</t>
  </si>
  <si>
    <t>Coste despidos personal de producción</t>
  </si>
  <si>
    <t>Otros costes laborales</t>
  </si>
  <si>
    <t>Costes de reparaciones en garantía</t>
  </si>
  <si>
    <t>RESULTADO DE EXPLOTACIÓN</t>
  </si>
  <si>
    <t>Resultado de la Actividad Financiera</t>
  </si>
  <si>
    <t>Ingresos por inversiones financieras</t>
  </si>
  <si>
    <t>Otros ingresos financieros</t>
  </si>
  <si>
    <t>Gastos financieros de préstamos</t>
  </si>
  <si>
    <t>Gastos financieros de pólizas de crédito</t>
  </si>
  <si>
    <t>Gastos financieros por comisiones</t>
  </si>
  <si>
    <t>Gastos financieros por descubierto</t>
  </si>
  <si>
    <t>Otros gastos/pérdidas financieras</t>
  </si>
  <si>
    <t>Otros ingresos/gastos</t>
  </si>
  <si>
    <t>Otros ingresos</t>
  </si>
  <si>
    <t>Otros gastos</t>
  </si>
  <si>
    <t>Impuesto de Sociedades</t>
  </si>
  <si>
    <t>RESULTADO ANTES DE IMPUESTOS</t>
  </si>
  <si>
    <t>RESULTADO DESPUÉS DE IMPUESTOS</t>
  </si>
  <si>
    <t>ESTADO DE FLUJOS DE EFECTIVO</t>
  </si>
  <si>
    <t>Flujo de efectivo neto procedente de las operaciones</t>
  </si>
  <si>
    <t>Efectivo generado por las operaciones</t>
  </si>
  <si>
    <t>Pagos realizados</t>
  </si>
  <si>
    <t>Cuentas a pagar</t>
  </si>
  <si>
    <t>Variación de Stocks</t>
  </si>
  <si>
    <t>Impuesto de sociedades</t>
  </si>
  <si>
    <t>Flujo de efectivo neto procedente de las actividades de inversión</t>
  </si>
  <si>
    <t>Flujo de efectivo neto procedente de las actividades de financiación</t>
  </si>
  <si>
    <t>Intereses y otros ingresos financieros recibidos</t>
  </si>
  <si>
    <t>Pagos por inversiones en activos fijos</t>
  </si>
  <si>
    <t>Cobros/Pagos por préstamos y créditos</t>
  </si>
  <si>
    <t>EFECTIVO Y EQUIVALENTES AL INICIO DEL PERIODO</t>
  </si>
  <si>
    <t>EFECTIVO Y EQUIVALENTES AL FINAL DEL PERIODO</t>
  </si>
  <si>
    <t>Año 1</t>
  </si>
  <si>
    <t>Nuevos modelos a desarrollar (máximo 3).</t>
  </si>
  <si>
    <t>Nuevos modelos a desarrollar (máximo 1).</t>
  </si>
  <si>
    <t>La inversión anual en I+D por modelo del centro de diseño e ingeniería es de:</t>
  </si>
  <si>
    <t>Tamaño</t>
  </si>
  <si>
    <t>Inversión</t>
  </si>
  <si>
    <t>TR1</t>
  </si>
  <si>
    <t>TR2</t>
  </si>
  <si>
    <t>TR3</t>
  </si>
  <si>
    <t>TR4</t>
  </si>
  <si>
    <t>TR5</t>
  </si>
  <si>
    <t>Región</t>
  </si>
  <si>
    <t>Nuevas versiones a desarrollar (máximo 8 por modelo).</t>
  </si>
  <si>
    <t>Tipo de motor</t>
  </si>
  <si>
    <t>Equipamiento</t>
  </si>
  <si>
    <t>Acabado</t>
  </si>
  <si>
    <t>Equipmiento</t>
  </si>
  <si>
    <t>SEGMENTO 4</t>
  </si>
  <si>
    <t>1 ó 2 ó 3</t>
  </si>
  <si>
    <t>2 ó 3</t>
  </si>
  <si>
    <t>PREVISIÓN DE ESTADOS FINANCIEROS</t>
  </si>
  <si>
    <t>Tamaño actual de la planta</t>
  </si>
  <si>
    <t>Tamaño deseado de la planta</t>
  </si>
  <si>
    <t>Plantas terminales operativas.</t>
  </si>
  <si>
    <t>Plantas terminales a construir, que estarán operativas en 1 año.</t>
  </si>
  <si>
    <t>I+D (VERSIONES)</t>
  </si>
  <si>
    <t>Eliminar</t>
  </si>
  <si>
    <t>DISTRIBUCIÓN</t>
  </si>
  <si>
    <t>SE</t>
  </si>
  <si>
    <t>Número de distribuidores</t>
  </si>
  <si>
    <t>Margen (%)</t>
  </si>
  <si>
    <t>PRECIOS</t>
  </si>
  <si>
    <t>Versión</t>
  </si>
  <si>
    <t>COMUNICACIÓN</t>
  </si>
  <si>
    <t>Número de campaña de comunicación.</t>
  </si>
  <si>
    <t>Número de campaña</t>
  </si>
  <si>
    <t>Descripción</t>
  </si>
  <si>
    <t>Coste</t>
  </si>
  <si>
    <t>INVESTIGACIONES DE MERCADO</t>
  </si>
  <si>
    <t>Número</t>
  </si>
  <si>
    <t>Seleccionar</t>
  </si>
  <si>
    <t>Planta</t>
  </si>
  <si>
    <t>Turnos</t>
  </si>
  <si>
    <t>Unidades</t>
  </si>
  <si>
    <t>Porcentaje</t>
  </si>
  <si>
    <t>Garantía (años)</t>
  </si>
  <si>
    <t>Salario</t>
  </si>
  <si>
    <t>Rangos de salaraios de operarios e incentivos:</t>
  </si>
  <si>
    <t>Incentivo (%)</t>
  </si>
  <si>
    <t>Soporte</t>
  </si>
  <si>
    <t>FINANZAS</t>
  </si>
  <si>
    <t>Póliza de crédito que se solicita</t>
  </si>
  <si>
    <t>Préstamo que se solicita</t>
  </si>
  <si>
    <t>Préstamo a amortizar anticipadamente</t>
  </si>
  <si>
    <t>Precios medios del sector:</t>
  </si>
  <si>
    <t>La inversión necesaria para construir una planta depende del tamaño:</t>
  </si>
  <si>
    <t>NOTA: La suma de porcentajes de las versiones de un modelo fabricadas en una planta debe sumar 100%.</t>
  </si>
  <si>
    <t>Estudios de mercado a contratar.</t>
  </si>
  <si>
    <t>Plazo de pago a proveedores de materia prima.</t>
  </si>
  <si>
    <t>Instrumentos financieros.</t>
  </si>
  <si>
    <t>Plazo (años)</t>
  </si>
  <si>
    <t>Préstamos:</t>
  </si>
  <si>
    <t>Unidades vendidas</t>
  </si>
  <si>
    <t>Impuesto (%)</t>
  </si>
  <si>
    <t>Total</t>
  </si>
  <si>
    <t>S5</t>
  </si>
  <si>
    <t>Potencia (CV)</t>
  </si>
  <si>
    <t>HYB</t>
  </si>
  <si>
    <t>ELE</t>
  </si>
  <si>
    <t>SEGMENTO 3</t>
  </si>
  <si>
    <t>SEGMENTO 5</t>
  </si>
  <si>
    <t>Exterior</t>
  </si>
  <si>
    <t>Prensa</t>
  </si>
  <si>
    <t>Acrónimo</t>
  </si>
  <si>
    <t>Televisión</t>
  </si>
  <si>
    <t>Radio</t>
  </si>
  <si>
    <t>Revistas</t>
  </si>
  <si>
    <t>Red de display y remarketing</t>
  </si>
  <si>
    <t>Redes sociales</t>
  </si>
  <si>
    <t>PR</t>
  </si>
  <si>
    <t>TV</t>
  </si>
  <si>
    <t>RA</t>
  </si>
  <si>
    <t>SM</t>
  </si>
  <si>
    <t>Tendencias</t>
  </si>
  <si>
    <t>Ventas</t>
  </si>
  <si>
    <t>Marketing</t>
  </si>
  <si>
    <t>Producción</t>
  </si>
  <si>
    <t>Finanzas</t>
  </si>
  <si>
    <t>Servicios/distribución</t>
  </si>
  <si>
    <t>Recursos humanos</t>
  </si>
  <si>
    <t>SEGMENTO</t>
  </si>
  <si>
    <t>Motor</t>
  </si>
  <si>
    <t>Precios mínimos:</t>
  </si>
  <si>
    <t>Precios máximos:</t>
  </si>
  <si>
    <t>CH</t>
  </si>
  <si>
    <t>DR</t>
  </si>
  <si>
    <t>MA</t>
  </si>
  <si>
    <t>OD</t>
  </si>
  <si>
    <t>Canales de audio/vídeo</t>
  </si>
  <si>
    <t>Redes de búsqueda</t>
  </si>
  <si>
    <t>Inversión RSC</t>
  </si>
  <si>
    <t>Variables financieras:</t>
  </si>
  <si>
    <t>Descubierto:</t>
  </si>
  <si>
    <t>Línea de crédito:</t>
  </si>
  <si>
    <t>RSC (patrocinio y gestión medioambiental)</t>
  </si>
  <si>
    <t>Clientes</t>
  </si>
  <si>
    <t>Presupuesto</t>
  </si>
  <si>
    <t>Unidades producidas</t>
  </si>
  <si>
    <t>Coste de transporte por vehículo:</t>
  </si>
  <si>
    <t>Año 3</t>
  </si>
  <si>
    <t>Año 2</t>
  </si>
  <si>
    <t>Plazo de cobro de clientes.</t>
  </si>
  <si>
    <t>Descuento</t>
  </si>
  <si>
    <t>Importe aplazado</t>
  </si>
  <si>
    <t>Plazo (días)</t>
  </si>
  <si>
    <t>Rangos del incremento en la productividad:</t>
  </si>
  <si>
    <t>Zona</t>
  </si>
  <si>
    <t>Impuestos a la venta de vehículos:</t>
  </si>
  <si>
    <t>Coste directo de producción</t>
  </si>
  <si>
    <t>SA</t>
  </si>
  <si>
    <t>Repeticiones</t>
  </si>
  <si>
    <t>Despidos personal de producción</t>
  </si>
  <si>
    <t>Otros gastos laborales</t>
  </si>
  <si>
    <t>Reparaciones en garantía</t>
  </si>
  <si>
    <t>RSC patrocinio y SGM</t>
  </si>
  <si>
    <t>I+D (DISEÑO)</t>
  </si>
  <si>
    <t>OPERACIONES I</t>
  </si>
  <si>
    <t>Modelos que se quieren distribuir.</t>
  </si>
  <si>
    <t>NOTA: El máximo de plantas terminales es de ocho.</t>
  </si>
  <si>
    <t>NOTA: El número de años de garantía debe ser entre 1 y 4.</t>
  </si>
  <si>
    <t>NOTA: La inversión en RSC puede ser como máximo de 400.000.000.</t>
  </si>
  <si>
    <t>Descuento de facturas:</t>
  </si>
  <si>
    <t>Impuestos de sociedades e impuesto a la venta de vehículos:</t>
  </si>
  <si>
    <t>Sociedades</t>
  </si>
  <si>
    <t>Impuesto</t>
  </si>
  <si>
    <t>Venta de vehículos</t>
  </si>
  <si>
    <t>ICE</t>
  </si>
  <si>
    <t>Coste medio por persona de la sede central (€):</t>
  </si>
  <si>
    <t>Gastos de estructura por planta terminal (€):</t>
  </si>
  <si>
    <t>0 y 1 turno</t>
  </si>
  <si>
    <t>2 turnos</t>
  </si>
  <si>
    <t>Segmento 3</t>
  </si>
  <si>
    <t>Segmento 4</t>
  </si>
  <si>
    <t>Segmento 5</t>
  </si>
  <si>
    <t>Bajo</t>
  </si>
  <si>
    <t>Medio</t>
  </si>
  <si>
    <t>Poder adquisitivo</t>
  </si>
  <si>
    <t>Activo corriente</t>
  </si>
  <si>
    <t>Total Activo corriente</t>
  </si>
  <si>
    <t>Total Activo no corriente</t>
  </si>
  <si>
    <t>Activo no corriente</t>
  </si>
  <si>
    <t>Total Pasivo corriente</t>
  </si>
  <si>
    <t>Total Pasivo no corriente</t>
  </si>
  <si>
    <t>Demanda por tipos de motor, segmentos y poderes adquisitivos:</t>
  </si>
  <si>
    <t>Publicidad de marca</t>
  </si>
  <si>
    <t>Pasivo corriente</t>
  </si>
  <si>
    <t>Pasivo no corriente</t>
  </si>
  <si>
    <t>Variación neta en efectivo y equivalentes durante el periodo</t>
  </si>
  <si>
    <t>El equipamiento debe ser igual o mayor que el acabado.</t>
  </si>
  <si>
    <t>Posibles combinaciones de versiones:</t>
  </si>
  <si>
    <t>Tamaño de planta</t>
  </si>
  <si>
    <t>Plantas terminales a construir (máximo 3), que estarán operativas en el año 3.</t>
  </si>
  <si>
    <t>Coste de despido de operarios:</t>
  </si>
  <si>
    <t>IMPORTANTE:</t>
  </si>
  <si>
    <t>Coste de una unidad de materia prima y energía por segmento:</t>
  </si>
  <si>
    <t>Materia prima (€)</t>
  </si>
  <si>
    <t>Energía (€)</t>
  </si>
  <si>
    <t>Intereses y otros gastos financieros pagados</t>
  </si>
  <si>
    <t>Investigaciones de mercado</t>
  </si>
  <si>
    <t>Gastos por descuento de facturas</t>
  </si>
  <si>
    <t>Cuentas a cobrar</t>
  </si>
  <si>
    <t>Resultado del ejercicio</t>
  </si>
  <si>
    <t>165/180/195/</t>
  </si>
  <si>
    <t>115/135/150/</t>
  </si>
  <si>
    <t>180/195/210/</t>
  </si>
  <si>
    <t>135/150/165/</t>
  </si>
  <si>
    <t>90/105/120/</t>
  </si>
  <si>
    <t>180/195/210/225</t>
  </si>
  <si>
    <t>M&amp;CV</t>
  </si>
  <si>
    <t>Operarios</t>
  </si>
  <si>
    <t>Tamaño planta</t>
  </si>
  <si>
    <t>1 turno</t>
  </si>
  <si>
    <t>Resumen</t>
  </si>
  <si>
    <t>Operarios necesarios</t>
  </si>
  <si>
    <t>Demanda total de vehículos:</t>
  </si>
  <si>
    <t>Mercado</t>
  </si>
  <si>
    <t>Demanda</t>
  </si>
  <si>
    <t>Cuota de mercado estimada</t>
  </si>
  <si>
    <t>Total segmento</t>
  </si>
  <si>
    <t>Capacidad máxima de producción sin incentivos en función del segmento, tamaño de planta y número de turnos:</t>
  </si>
  <si>
    <t>% de aumento de productividad</t>
  </si>
  <si>
    <t>Materia prima necesaria por unidad de producto terminado</t>
  </si>
  <si>
    <t>Calculadora de precios:</t>
  </si>
  <si>
    <t>% incentivo</t>
  </si>
  <si>
    <t>Incremento en la productividad</t>
  </si>
  <si>
    <t>Materia prima</t>
  </si>
  <si>
    <t>Energía</t>
  </si>
  <si>
    <t>Salarios</t>
  </si>
  <si>
    <t>Transporte</t>
  </si>
  <si>
    <t>Coste directo de producción (€)</t>
  </si>
  <si>
    <t>Margen fabricante (%)</t>
  </si>
  <si>
    <t>Precio fabricante (€)</t>
  </si>
  <si>
    <t>Ingresos sin impuestos (€)</t>
  </si>
  <si>
    <t>PVP (€)</t>
  </si>
  <si>
    <t>Gastos financieros</t>
  </si>
  <si>
    <t>Total segmento 3</t>
  </si>
  <si>
    <t>Total segmento 5</t>
  </si>
  <si>
    <t>Total segmento 4</t>
  </si>
  <si>
    <t>La inversión en I+D por modelo del centro de diseño es de:</t>
  </si>
  <si>
    <t>La inversión en I+D por modelo en ingeniería (versiones) es de:</t>
  </si>
  <si>
    <t>Número de distribuidores y margen al distribuidor en los mercados de venta.</t>
  </si>
  <si>
    <t>La inversión necesaria para construir una planta y en instalaciones técnicas depende del tamaño:</t>
  </si>
  <si>
    <t>Inversión para crear la planta</t>
  </si>
  <si>
    <t>Inversión inst. técnicas</t>
  </si>
  <si>
    <t>OPERACIONES II, PRODUCCIÓN Y RECURSOS HUMANOS</t>
  </si>
  <si>
    <t>Nota: Para que el cálculo sea correcto, el número de unidades a fabricar no puede ser superior a la capacidad teórica más el objetivo de productividad estableciado.</t>
  </si>
  <si>
    <t>prima (uds.)</t>
  </si>
  <si>
    <t>Decidir el número de unidades de cada versión a fabricar para saber el número de unidades de materia prima que deben aprovisionarse y el número de operarios necesario.</t>
  </si>
  <si>
    <t>Calculadora de materia prima y operarios:</t>
  </si>
  <si>
    <t>Número de años de garantía:</t>
  </si>
  <si>
    <t>Inversión en Responsabilidad Social Corporativa (gestión medioambiental y patrocinio) a realizar:</t>
  </si>
  <si>
    <t>Unidades/día</t>
  </si>
  <si>
    <t xml:space="preserve"> </t>
  </si>
  <si>
    <t>Nota: La cuota de mercado determinará el tamaño de las plantas a crear.</t>
  </si>
  <si>
    <t>OPERACIONES</t>
  </si>
  <si>
    <t>Nota: Las campañas se encuentaran en el anexo del escenario.</t>
  </si>
  <si>
    <t>Coste por repetición</t>
  </si>
  <si>
    <t>Gastos de garantía (€)</t>
  </si>
  <si>
    <t>Margen del concesionario (€)</t>
  </si>
  <si>
    <t>Gastos indirectos por unidad (€)*</t>
  </si>
  <si>
    <t>Gastos generales*</t>
  </si>
  <si>
    <t>Coste total de fabricante (€)</t>
  </si>
  <si>
    <t>Nota: El rango de número de distribuidores debe ser entre 300 y 6.000. El de margen debe ser entre 1% y 25%.</t>
  </si>
  <si>
    <t>Gastos de estructura TR (€)</t>
  </si>
  <si>
    <t>Sueldo operarios (€)</t>
  </si>
  <si>
    <t>Vehículos a fabricar (uds.)</t>
  </si>
  <si>
    <t xml:space="preserve">Vehículos a </t>
  </si>
  <si>
    <t>fabricar (uds.)</t>
  </si>
  <si>
    <t>fabricar (%)</t>
  </si>
  <si>
    <t>Stock a final de año (uds.)</t>
  </si>
  <si>
    <t>Stock a final de año (€)</t>
  </si>
  <si>
    <t>Previsión clientes</t>
  </si>
  <si>
    <t>OBJETIVO DE VENTAS</t>
  </si>
  <si>
    <t>PREVISIÓN DE VENTAS, INGRESOS Y GASTOS</t>
  </si>
  <si>
    <t>* No incluyen los gastos de garantía</t>
  </si>
  <si>
    <t>RESUMEN PRINCIPALES CIFRAS</t>
  </si>
  <si>
    <t>Esta hoja de trabajo es una ayuda, no pretende ser la base del trabajo del participante, ni sustituye la introducción de decisiones en el simulador.</t>
  </si>
  <si>
    <t>Su estructura no es exactamente la misma que la de la interfaz, e incluye decisiones que deberán ser introducidas en el simulador y otras que no.</t>
  </si>
  <si>
    <t>Permite proyectar resultados hasta un año 3. si se desea utilizar para años posteriores se deberán realizar cambios en el contenido y las fórmulas.</t>
  </si>
  <si>
    <t>El menú de información contiene valores estándar que pueden diferir de los que aparecen en el menú de información de la interfaz.</t>
  </si>
  <si>
    <t>Si así fuese, prevalece la información del menú información, y esta hoja debe adaptarse a los valores que aparecen en él.</t>
  </si>
  <si>
    <t>Las decisiones deben introducirse en las casillas con fondo color amarillo suave.</t>
  </si>
  <si>
    <t>La casillas con fondo azul celeste dan el resultado de cálculos, salvo en los estados financieros, que tienen fondo blanco.</t>
  </si>
  <si>
    <t>La hoja contiene un alto número de fórmulas complejas. Su modificación, o la utilización de una versión no actualizada de Excel pueden provocar errores en cálculos.</t>
  </si>
  <si>
    <t>Inversiones financieras:</t>
  </si>
  <si>
    <t>Inversión total en investigación de mercado</t>
  </si>
  <si>
    <t>Número de repeticiones de campaña de marca y presupuesto.</t>
  </si>
  <si>
    <t>Presupuesto total en publicidad de marca</t>
  </si>
  <si>
    <t>No</t>
  </si>
  <si>
    <t>Calculadora de TON:</t>
  </si>
  <si>
    <t>Inversión en inmovilizado</t>
  </si>
  <si>
    <t>Inversión/gasto</t>
  </si>
  <si>
    <t>Publicidad</t>
  </si>
  <si>
    <t>Gastos de estructura</t>
  </si>
  <si>
    <t>TON</t>
  </si>
  <si>
    <t>Total TON</t>
  </si>
  <si>
    <t>Importe del préstamo a solicitar</t>
  </si>
  <si>
    <t>Demanda total por segmento</t>
  </si>
  <si>
    <t>NOTA: Solo se pueden desarrollar 8 versiones, y hay 9 subsegmentos (3 por tipo de motor).</t>
  </si>
  <si>
    <t xml:space="preserve">NOTA: Se pueden desarrollar 8 versiones, hay 9 subsegmentos (3 por tipo de motor). </t>
  </si>
  <si>
    <t xml:space="preserve">NOTA: Se pueden desarrollar 8 versiones, hay 9 subsegmentos (3 por tipo de motor). Solo se pueden introducir versiones en las filas con fondo amarillo. </t>
  </si>
  <si>
    <t>NOTA: Si se elimina una versión, se seguirá vendiendo durante el presente año, y el stock restante a final de año se realizará (se venderá a coste).</t>
  </si>
  <si>
    <t>Tipo de Interés</t>
  </si>
  <si>
    <t>Comisión de apertura</t>
  </si>
  <si>
    <t>Comisión de cancelación</t>
  </si>
  <si>
    <t>Comisión de disponibilidad</t>
  </si>
  <si>
    <t>Compra materia</t>
  </si>
  <si>
    <t>NOTA: La inversión en instalaciones técnicas se produce solo si se fabrica en la planta.</t>
  </si>
  <si>
    <t>Si no se va a fabricar en una planta, poner la inversión manualmente a cero.</t>
  </si>
  <si>
    <t>Inversión en la planta</t>
  </si>
  <si>
    <t>Inversión Instalaciones téc.</t>
  </si>
  <si>
    <t>ingresos a PVP sin impuestos (€)</t>
  </si>
  <si>
    <t>Margen de concesionarios (€)</t>
  </si>
  <si>
    <t>Transporte hasta concesionarios (€)</t>
  </si>
  <si>
    <t>Margen de contribución (€)</t>
  </si>
  <si>
    <t>Estimación de cuota de mercado (puede ser utilizada para determinar la producción):</t>
  </si>
  <si>
    <t>Las plantas terminales no deben ampliarse hasta el año 4.</t>
  </si>
  <si>
    <t>Tipo impositivo</t>
  </si>
</sst>
</file>

<file path=xl/styles.xml><?xml version="1.0" encoding="utf-8"?>
<styleSheet xmlns="http://schemas.openxmlformats.org/spreadsheetml/2006/main">
  <numFmts count="4">
    <numFmt numFmtId="164" formatCode="_-* #,##0.00_-;\-* #,##0.00_-;_-* &quot;-&quot;??_-;_-@_-"/>
    <numFmt numFmtId="165" formatCode="_-* #,##0_-;\-* #,##0_-;_-* &quot;-&quot;??_-;_-@_-"/>
    <numFmt numFmtId="166" formatCode="#,##0_ ;\-#,##0\ "/>
    <numFmt numFmtId="167" formatCode="0.0%"/>
  </numFmts>
  <fonts count="1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rgb="FFFFFFFF"/>
      <name val="Material Icons"/>
    </font>
    <font>
      <b/>
      <sz val="18"/>
      <color theme="1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DEBF7"/>
        <bgColor rgb="FF000000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352">
    <xf numFmtId="0" fontId="0" fillId="0" borderId="0" xfId="0"/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4" borderId="11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4" borderId="18" xfId="0" applyFont="1" applyFill="1" applyBorder="1" applyAlignment="1">
      <alignment vertical="center"/>
    </xf>
    <xf numFmtId="0" fontId="1" fillId="4" borderId="19" xfId="0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0" fillId="4" borderId="3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3" fontId="0" fillId="5" borderId="1" xfId="0" applyNumberFormat="1" applyFont="1" applyFill="1" applyBorder="1" applyAlignment="1">
      <alignment horizontal="center" vertical="center"/>
    </xf>
    <xf numFmtId="3" fontId="0" fillId="6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6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9" fontId="0" fillId="5" borderId="1" xfId="0" applyNumberFormat="1" applyFont="1" applyFill="1" applyBorder="1" applyAlignment="1">
      <alignment horizontal="center" vertical="center"/>
    </xf>
    <xf numFmtId="3" fontId="0" fillId="5" borderId="1" xfId="0" applyNumberFormat="1" applyFont="1" applyFill="1" applyBorder="1" applyAlignment="1">
      <alignment vertical="center"/>
    </xf>
    <xf numFmtId="9" fontId="0" fillId="7" borderId="1" xfId="0" applyNumberFormat="1" applyFont="1" applyFill="1" applyBorder="1" applyAlignment="1">
      <alignment horizontal="center" vertical="center"/>
    </xf>
    <xf numFmtId="9" fontId="0" fillId="0" borderId="1" xfId="0" applyNumberFormat="1" applyFont="1" applyFill="1" applyBorder="1" applyAlignment="1">
      <alignment horizontal="center" vertical="center"/>
    </xf>
    <xf numFmtId="9" fontId="0" fillId="5" borderId="1" xfId="1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vertical="center"/>
    </xf>
    <xf numFmtId="10" fontId="0" fillId="0" borderId="1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3" fontId="0" fillId="0" borderId="1" xfId="0" applyNumberFormat="1" applyFont="1" applyFill="1" applyBorder="1" applyAlignment="1">
      <alignment horizontal="center" vertical="center"/>
    </xf>
    <xf numFmtId="164" fontId="0" fillId="5" borderId="1" xfId="2" applyNumberFormat="1" applyFont="1" applyFill="1" applyBorder="1" applyAlignment="1">
      <alignment horizontal="right" vertical="center"/>
    </xf>
    <xf numFmtId="9" fontId="0" fillId="0" borderId="1" xfId="1" applyFont="1" applyFill="1" applyBorder="1" applyAlignment="1">
      <alignment horizontal="center" vertical="center"/>
    </xf>
    <xf numFmtId="0" fontId="0" fillId="0" borderId="0" xfId="0" applyBorder="1"/>
    <xf numFmtId="0" fontId="11" fillId="0" borderId="0" xfId="0" applyFont="1" applyBorder="1"/>
    <xf numFmtId="0" fontId="1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right" vertical="center"/>
    </xf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0" fillId="7" borderId="1" xfId="0" applyFont="1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1" fillId="8" borderId="2" xfId="0" applyFont="1" applyFill="1" applyBorder="1" applyAlignment="1">
      <alignment vertical="center"/>
    </xf>
    <xf numFmtId="0" fontId="0" fillId="8" borderId="0" xfId="0" applyFont="1" applyFill="1" applyBorder="1" applyAlignment="1">
      <alignment vertical="center"/>
    </xf>
    <xf numFmtId="3" fontId="0" fillId="8" borderId="0" xfId="0" applyNumberFormat="1" applyFont="1" applyFill="1" applyBorder="1" applyAlignment="1">
      <alignment vertical="center"/>
    </xf>
    <xf numFmtId="0" fontId="1" fillId="9" borderId="2" xfId="0" applyFont="1" applyFill="1" applyBorder="1" applyAlignment="1">
      <alignment vertical="center"/>
    </xf>
    <xf numFmtId="0" fontId="0" fillId="9" borderId="0" xfId="0" applyFont="1" applyFill="1" applyBorder="1" applyAlignment="1">
      <alignment vertical="center"/>
    </xf>
    <xf numFmtId="3" fontId="0" fillId="9" borderId="0" xfId="0" applyNumberFormat="1" applyFont="1" applyFill="1" applyBorder="1" applyAlignment="1">
      <alignment vertical="center"/>
    </xf>
    <xf numFmtId="0" fontId="0" fillId="8" borderId="2" xfId="0" applyFont="1" applyFill="1" applyBorder="1" applyAlignment="1">
      <alignment vertical="center"/>
    </xf>
    <xf numFmtId="3" fontId="0" fillId="8" borderId="0" xfId="0" applyNumberFormat="1" applyFont="1" applyFill="1" applyBorder="1" applyAlignment="1">
      <alignment horizontal="right" vertical="center"/>
    </xf>
    <xf numFmtId="3" fontId="0" fillId="9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166" fontId="0" fillId="5" borderId="1" xfId="2" applyNumberFormat="1" applyFont="1" applyFill="1" applyBorder="1" applyAlignment="1">
      <alignment horizontal="right"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3" fontId="0" fillId="0" borderId="21" xfId="0" applyNumberFormat="1" applyFont="1" applyFill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167" fontId="0" fillId="10" borderId="1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/>
    <xf numFmtId="9" fontId="0" fillId="10" borderId="1" xfId="1" applyFont="1" applyFill="1" applyBorder="1" applyAlignment="1" applyProtection="1">
      <alignment horizontal="center" vertical="center"/>
      <protection locked="0"/>
    </xf>
    <xf numFmtId="0" fontId="0" fillId="10" borderId="1" xfId="0" applyFill="1" applyBorder="1" applyAlignment="1" applyProtection="1">
      <alignment horizontal="center"/>
      <protection locked="0"/>
    </xf>
    <xf numFmtId="165" fontId="0" fillId="10" borderId="1" xfId="0" applyNumberFormat="1" applyFill="1" applyBorder="1" applyAlignment="1" applyProtection="1">
      <alignment vertical="center"/>
      <protection locked="0"/>
    </xf>
    <xf numFmtId="0" fontId="2" fillId="6" borderId="1" xfId="0" applyFont="1" applyFill="1" applyBorder="1" applyAlignment="1" applyProtection="1">
      <alignment horizontal="center" vertical="top" wrapText="1"/>
      <protection locked="0"/>
    </xf>
    <xf numFmtId="165" fontId="0" fillId="10" borderId="1" xfId="2" applyNumberFormat="1" applyFont="1" applyFill="1" applyBorder="1" applyAlignment="1" applyProtection="1">
      <alignment horizontal="center"/>
      <protection locked="0"/>
    </xf>
    <xf numFmtId="3" fontId="7" fillId="6" borderId="1" xfId="0" applyNumberFormat="1" applyFont="1" applyFill="1" applyBorder="1" applyAlignment="1" applyProtection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Font="1" applyBorder="1" applyAlignment="1">
      <alignment vertical="center" wrapText="1"/>
    </xf>
    <xf numFmtId="0" fontId="0" fillId="0" borderId="2" xfId="0" applyFont="1" applyBorder="1"/>
    <xf numFmtId="0" fontId="1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/>
    <xf numFmtId="0" fontId="0" fillId="0" borderId="3" xfId="0" applyFont="1" applyBorder="1"/>
    <xf numFmtId="0" fontId="0" fillId="0" borderId="0" xfId="0" applyBorder="1" applyProtection="1">
      <protection locked="0" hidden="1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3" fontId="0" fillId="0" borderId="2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8" fillId="0" borderId="0" xfId="0" applyFont="1" applyBorder="1"/>
    <xf numFmtId="0" fontId="0" fillId="4" borderId="1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1" fillId="8" borderId="0" xfId="0" applyFont="1" applyFill="1" applyBorder="1" applyAlignment="1">
      <alignment vertical="center"/>
    </xf>
    <xf numFmtId="3" fontId="1" fillId="8" borderId="0" xfId="0" applyNumberFormat="1" applyFont="1" applyFill="1" applyBorder="1" applyAlignment="1">
      <alignment vertical="center"/>
    </xf>
    <xf numFmtId="0" fontId="0" fillId="8" borderId="0" xfId="0" applyFont="1" applyFill="1" applyBorder="1" applyAlignment="1">
      <alignment horizontal="left" vertical="center"/>
    </xf>
    <xf numFmtId="0" fontId="1" fillId="8" borderId="0" xfId="0" applyFont="1" applyFill="1" applyBorder="1" applyAlignment="1">
      <alignment horizontal="left" vertical="center"/>
    </xf>
    <xf numFmtId="0" fontId="0" fillId="8" borderId="0" xfId="0" applyFont="1" applyFill="1" applyBorder="1" applyAlignment="1">
      <alignment horizontal="center" vertical="center"/>
    </xf>
    <xf numFmtId="0" fontId="0" fillId="8" borderId="0" xfId="0" applyFont="1" applyFill="1" applyAlignment="1">
      <alignment vertical="center"/>
    </xf>
    <xf numFmtId="0" fontId="12" fillId="8" borderId="5" xfId="0" applyFont="1" applyFill="1" applyBorder="1" applyAlignment="1">
      <alignment vertical="center"/>
    </xf>
    <xf numFmtId="0" fontId="0" fillId="8" borderId="5" xfId="0" applyFont="1" applyFill="1" applyBorder="1" applyAlignment="1">
      <alignment vertical="center"/>
    </xf>
    <xf numFmtId="0" fontId="0" fillId="8" borderId="3" xfId="0" applyFont="1" applyFill="1" applyBorder="1" applyAlignment="1">
      <alignment vertical="center"/>
    </xf>
    <xf numFmtId="0" fontId="0" fillId="8" borderId="4" xfId="0" applyFont="1" applyFill="1" applyBorder="1" applyAlignment="1">
      <alignment vertical="center"/>
    </xf>
    <xf numFmtId="0" fontId="0" fillId="8" borderId="6" xfId="0" applyFont="1" applyFill="1" applyBorder="1" applyAlignment="1">
      <alignment vertical="center"/>
    </xf>
    <xf numFmtId="3" fontId="0" fillId="8" borderId="3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8" borderId="0" xfId="0" applyFill="1" applyBorder="1"/>
    <xf numFmtId="0" fontId="5" fillId="8" borderId="7" xfId="0" applyFont="1" applyFill="1" applyBorder="1" applyAlignment="1">
      <alignment vertical="center"/>
    </xf>
    <xf numFmtId="0" fontId="5" fillId="8" borderId="8" xfId="0" applyFont="1" applyFill="1" applyBorder="1" applyAlignment="1">
      <alignment vertical="center"/>
    </xf>
    <xf numFmtId="0" fontId="5" fillId="8" borderId="9" xfId="0" applyFont="1" applyFill="1" applyBorder="1" applyAlignment="1">
      <alignment vertical="center"/>
    </xf>
    <xf numFmtId="0" fontId="0" fillId="8" borderId="0" xfId="0" applyFill="1"/>
    <xf numFmtId="3" fontId="0" fillId="0" borderId="22" xfId="0" applyNumberFormat="1" applyFont="1" applyFill="1" applyBorder="1" applyAlignment="1">
      <alignment horizontal="right" vertical="center"/>
    </xf>
    <xf numFmtId="0" fontId="0" fillId="5" borderId="22" xfId="0" applyFont="1" applyFill="1" applyBorder="1" applyAlignment="1">
      <alignment horizontal="center" vertical="center"/>
    </xf>
    <xf numFmtId="0" fontId="1" fillId="8" borderId="0" xfId="0" applyFont="1" applyFill="1" applyBorder="1" applyProtection="1">
      <protection locked="0"/>
    </xf>
    <xf numFmtId="0" fontId="0" fillId="8" borderId="0" xfId="0" applyFont="1" applyFill="1" applyBorder="1" applyProtection="1">
      <protection locked="0"/>
    </xf>
    <xf numFmtId="0" fontId="0" fillId="8" borderId="0" xfId="0" applyFill="1" applyBorder="1" applyProtection="1">
      <protection locked="0"/>
    </xf>
    <xf numFmtId="3" fontId="1" fillId="8" borderId="0" xfId="0" applyNumberFormat="1" applyFont="1" applyFill="1" applyBorder="1" applyAlignment="1">
      <alignment horizontal="right" vertical="center"/>
    </xf>
    <xf numFmtId="10" fontId="0" fillId="0" borderId="10" xfId="0" applyNumberFormat="1" applyFont="1" applyFill="1" applyBorder="1" applyAlignment="1">
      <alignment vertical="center"/>
    </xf>
    <xf numFmtId="166" fontId="1" fillId="11" borderId="23" xfId="2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3" xfId="0" applyBorder="1" applyProtection="1">
      <protection locked="0"/>
    </xf>
    <xf numFmtId="3" fontId="0" fillId="0" borderId="25" xfId="0" applyNumberFormat="1" applyFont="1" applyFill="1" applyBorder="1" applyAlignment="1">
      <alignment horizontal="center" vertical="center" wrapText="1"/>
    </xf>
    <xf numFmtId="3" fontId="0" fillId="0" borderId="28" xfId="0" applyNumberFormat="1" applyFont="1" applyFill="1" applyBorder="1" applyAlignment="1">
      <alignment horizontal="center" vertical="center" wrapText="1"/>
    </xf>
    <xf numFmtId="3" fontId="0" fillId="0" borderId="29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3" fontId="0" fillId="11" borderId="1" xfId="0" applyNumberFormat="1" applyFont="1" applyFill="1" applyBorder="1" applyAlignment="1">
      <alignment horizontal="right" vertical="center"/>
    </xf>
    <xf numFmtId="3" fontId="0" fillId="11" borderId="1" xfId="0" applyNumberFormat="1" applyFont="1" applyFill="1" applyBorder="1" applyAlignment="1">
      <alignment horizontal="center" vertical="center"/>
    </xf>
    <xf numFmtId="3" fontId="0" fillId="11" borderId="1" xfId="0" applyNumberFormat="1" applyFont="1" applyFill="1" applyBorder="1" applyAlignment="1">
      <alignment vertical="center"/>
    </xf>
    <xf numFmtId="0" fontId="1" fillId="12" borderId="22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2" borderId="22" xfId="0" applyFont="1" applyFill="1" applyBorder="1" applyAlignment="1">
      <alignment vertical="center"/>
    </xf>
    <xf numFmtId="0" fontId="1" fillId="12" borderId="21" xfId="0" applyFont="1" applyFill="1" applyBorder="1" applyAlignment="1">
      <alignment horizontal="center" vertical="center"/>
    </xf>
    <xf numFmtId="0" fontId="1" fillId="12" borderId="21" xfId="0" applyFont="1" applyFill="1" applyBorder="1" applyAlignment="1">
      <alignment vertical="center"/>
    </xf>
    <xf numFmtId="0" fontId="1" fillId="12" borderId="23" xfId="0" applyFont="1" applyFill="1" applyBorder="1" applyAlignment="1">
      <alignment vertical="center"/>
    </xf>
    <xf numFmtId="9" fontId="1" fillId="4" borderId="1" xfId="1" applyFont="1" applyFill="1" applyBorder="1" applyAlignment="1">
      <alignment horizontal="center" vertical="center"/>
    </xf>
    <xf numFmtId="3" fontId="0" fillId="12" borderId="1" xfId="0" applyNumberFormat="1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vertical="center"/>
    </xf>
    <xf numFmtId="0" fontId="0" fillId="12" borderId="0" xfId="0" applyFont="1" applyFill="1" applyBorder="1" applyAlignment="1">
      <alignment vertical="center"/>
    </xf>
    <xf numFmtId="0" fontId="0" fillId="12" borderId="3" xfId="0" applyFont="1" applyFill="1" applyBorder="1" applyAlignment="1">
      <alignment horizontal="right" vertical="center"/>
    </xf>
    <xf numFmtId="3" fontId="0" fillId="12" borderId="0" xfId="0" applyNumberFormat="1" applyFont="1" applyFill="1" applyBorder="1" applyAlignment="1">
      <alignment vertical="center"/>
    </xf>
    <xf numFmtId="0" fontId="0" fillId="12" borderId="3" xfId="0" applyFont="1" applyFill="1" applyBorder="1" applyAlignment="1">
      <alignment vertical="center"/>
    </xf>
    <xf numFmtId="3" fontId="0" fillId="12" borderId="0" xfId="0" applyNumberFormat="1" applyFont="1" applyFill="1" applyBorder="1" applyAlignment="1">
      <alignment horizontal="right" vertical="center"/>
    </xf>
    <xf numFmtId="0" fontId="1" fillId="12" borderId="12" xfId="0" applyFont="1" applyFill="1" applyBorder="1" applyAlignment="1">
      <alignment horizontal="center" vertical="center"/>
    </xf>
    <xf numFmtId="0" fontId="1" fillId="12" borderId="10" xfId="0" applyFont="1" applyFill="1" applyBorder="1" applyAlignment="1">
      <alignment horizontal="center" vertical="center"/>
    </xf>
    <xf numFmtId="0" fontId="1" fillId="12" borderId="24" xfId="0" applyFont="1" applyFill="1" applyBorder="1" applyAlignment="1">
      <alignment vertical="center"/>
    </xf>
    <xf numFmtId="0" fontId="1" fillId="12" borderId="26" xfId="0" applyFont="1" applyFill="1" applyBorder="1" applyAlignment="1">
      <alignment horizontal="center" vertical="center"/>
    </xf>
    <xf numFmtId="0" fontId="1" fillId="12" borderId="27" xfId="0" applyFont="1" applyFill="1" applyBorder="1" applyAlignment="1">
      <alignment vertical="center"/>
    </xf>
    <xf numFmtId="0" fontId="1" fillId="12" borderId="23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3" fontId="0" fillId="4" borderId="25" xfId="0" applyNumberFormat="1" applyFont="1" applyFill="1" applyBorder="1" applyAlignment="1">
      <alignment horizontal="center" vertical="center" wrapText="1"/>
    </xf>
    <xf numFmtId="3" fontId="0" fillId="4" borderId="22" xfId="0" applyNumberFormat="1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/>
    </xf>
    <xf numFmtId="3" fontId="0" fillId="4" borderId="28" xfId="0" applyNumberFormat="1" applyFont="1" applyFill="1" applyBorder="1" applyAlignment="1">
      <alignment horizontal="center" vertical="center" wrapText="1"/>
    </xf>
    <xf numFmtId="3" fontId="0" fillId="4" borderId="21" xfId="0" applyNumberFormat="1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/>
    </xf>
    <xf numFmtId="3" fontId="0" fillId="4" borderId="29" xfId="0" applyNumberFormat="1" applyFont="1" applyFill="1" applyBorder="1" applyAlignment="1">
      <alignment horizontal="center" vertical="center" wrapText="1"/>
    </xf>
    <xf numFmtId="3" fontId="0" fillId="4" borderId="23" xfId="0" applyNumberFormat="1" applyFont="1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right" vertical="center"/>
    </xf>
    <xf numFmtId="9" fontId="1" fillId="4" borderId="10" xfId="1" applyFont="1" applyFill="1" applyBorder="1" applyAlignment="1">
      <alignment horizontal="center" vertical="center"/>
    </xf>
    <xf numFmtId="0" fontId="1" fillId="12" borderId="12" xfId="0" applyFont="1" applyFill="1" applyBorder="1" applyAlignment="1">
      <alignment vertical="center" wrapText="1"/>
    </xf>
    <xf numFmtId="0" fontId="1" fillId="12" borderId="10" xfId="0" applyFont="1" applyFill="1" applyBorder="1" applyAlignment="1">
      <alignment vertical="center" wrapText="1"/>
    </xf>
    <xf numFmtId="0" fontId="1" fillId="12" borderId="12" xfId="0" applyFont="1" applyFill="1" applyBorder="1" applyAlignment="1">
      <alignment vertical="center"/>
    </xf>
    <xf numFmtId="0" fontId="1" fillId="12" borderId="1" xfId="0" applyFont="1" applyFill="1" applyBorder="1" applyAlignment="1">
      <alignment horizontal="center" vertical="center" wrapText="1"/>
    </xf>
    <xf numFmtId="0" fontId="2" fillId="12" borderId="12" xfId="0" applyFont="1" applyFill="1" applyBorder="1" applyAlignment="1">
      <alignment vertical="center" wrapText="1"/>
    </xf>
    <xf numFmtId="0" fontId="2" fillId="12" borderId="10" xfId="0" applyFont="1" applyFill="1" applyBorder="1" applyAlignment="1">
      <alignment vertical="center" wrapText="1"/>
    </xf>
    <xf numFmtId="167" fontId="0" fillId="11" borderId="1" xfId="1" applyNumberFormat="1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 vertical="center" wrapText="1"/>
    </xf>
    <xf numFmtId="0" fontId="2" fillId="12" borderId="12" xfId="0" applyFont="1" applyFill="1" applyBorder="1" applyAlignment="1">
      <alignment horizontal="center" vertical="center"/>
    </xf>
    <xf numFmtId="0" fontId="1" fillId="12" borderId="12" xfId="0" applyFont="1" applyFill="1" applyBorder="1" applyAlignment="1">
      <alignment horizontal="left" vertical="center"/>
    </xf>
    <xf numFmtId="0" fontId="1" fillId="12" borderId="10" xfId="0" applyFont="1" applyFill="1" applyBorder="1" applyAlignment="1">
      <alignment horizontal="left" vertical="center"/>
    </xf>
    <xf numFmtId="0" fontId="1" fillId="12" borderId="10" xfId="0" applyFont="1" applyFill="1" applyBorder="1" applyAlignment="1">
      <alignment horizontal="right" vertical="center"/>
    </xf>
    <xf numFmtId="0" fontId="2" fillId="12" borderId="12" xfId="0" applyFont="1" applyFill="1" applyBorder="1" applyAlignment="1" applyProtection="1">
      <alignment horizontal="center" vertical="center" wrapText="1"/>
      <protection locked="0"/>
    </xf>
    <xf numFmtId="0" fontId="2" fillId="12" borderId="10" xfId="0" applyFont="1" applyFill="1" applyBorder="1" applyAlignment="1" applyProtection="1">
      <alignment horizontal="center" vertical="center" wrapText="1"/>
      <protection locked="0"/>
    </xf>
    <xf numFmtId="0" fontId="2" fillId="12" borderId="23" xfId="0" applyFont="1" applyFill="1" applyBorder="1" applyAlignment="1" applyProtection="1">
      <alignment horizontal="center" vertical="center" wrapText="1"/>
      <protection locked="0"/>
    </xf>
    <xf numFmtId="0" fontId="2" fillId="12" borderId="1" xfId="0" applyFont="1" applyFill="1" applyBorder="1" applyAlignment="1" applyProtection="1">
      <alignment horizontal="center" vertical="center" wrapText="1"/>
      <protection locked="0"/>
    </xf>
    <xf numFmtId="0" fontId="2" fillId="12" borderId="1" xfId="0" applyFont="1" applyFill="1" applyBorder="1" applyAlignment="1" applyProtection="1">
      <alignment horizontal="center" vertical="center"/>
      <protection locked="0"/>
    </xf>
    <xf numFmtId="0" fontId="0" fillId="12" borderId="1" xfId="0" applyFont="1" applyFill="1" applyBorder="1" applyAlignment="1">
      <alignment horizontal="center" vertical="center"/>
    </xf>
    <xf numFmtId="0" fontId="2" fillId="12" borderId="12" xfId="0" applyFont="1" applyFill="1" applyBorder="1" applyAlignment="1" applyProtection="1">
      <alignment vertical="top"/>
      <protection locked="0"/>
    </xf>
    <xf numFmtId="0" fontId="2" fillId="12" borderId="11" xfId="0" applyFont="1" applyFill="1" applyBorder="1" applyAlignment="1" applyProtection="1">
      <alignment vertical="top"/>
      <protection locked="0"/>
    </xf>
    <xf numFmtId="0" fontId="2" fillId="12" borderId="10" xfId="0" applyFont="1" applyFill="1" applyBorder="1" applyAlignment="1" applyProtection="1">
      <alignment vertical="top"/>
      <protection locked="0"/>
    </xf>
    <xf numFmtId="0" fontId="2" fillId="12" borderId="12" xfId="0" applyFont="1" applyFill="1" applyBorder="1" applyAlignment="1" applyProtection="1">
      <alignment horizontal="left" vertical="top"/>
      <protection locked="0"/>
    </xf>
    <xf numFmtId="0" fontId="2" fillId="12" borderId="11" xfId="0" applyFont="1" applyFill="1" applyBorder="1" applyAlignment="1" applyProtection="1">
      <alignment horizontal="center" vertical="top"/>
      <protection locked="0"/>
    </xf>
    <xf numFmtId="0" fontId="2" fillId="12" borderId="22" xfId="0" applyFont="1" applyFill="1" applyBorder="1" applyAlignment="1" applyProtection="1">
      <alignment horizontal="center" vertical="top" wrapText="1"/>
      <protection locked="0"/>
    </xf>
    <xf numFmtId="0" fontId="2" fillId="12" borderId="1" xfId="0" applyFont="1" applyFill="1" applyBorder="1" applyAlignment="1" applyProtection="1">
      <alignment horizontal="center" vertical="top" wrapText="1"/>
      <protection locked="0"/>
    </xf>
    <xf numFmtId="0" fontId="2" fillId="12" borderId="23" xfId="0" applyFont="1" applyFill="1" applyBorder="1" applyAlignment="1" applyProtection="1">
      <alignment horizontal="center" vertical="top" wrapText="1"/>
      <protection locked="0"/>
    </xf>
    <xf numFmtId="0" fontId="0" fillId="12" borderId="12" xfId="0" applyFont="1" applyFill="1" applyBorder="1" applyAlignment="1">
      <alignment vertical="center"/>
    </xf>
    <xf numFmtId="0" fontId="0" fillId="12" borderId="10" xfId="0" applyFont="1" applyFill="1" applyBorder="1" applyAlignment="1">
      <alignment vertical="center"/>
    </xf>
    <xf numFmtId="0" fontId="7" fillId="12" borderId="1" xfId="0" applyFont="1" applyFill="1" applyBorder="1" applyAlignment="1">
      <alignment horizontal="center" vertical="center"/>
    </xf>
    <xf numFmtId="0" fontId="7" fillId="12" borderId="12" xfId="0" applyFont="1" applyFill="1" applyBorder="1" applyAlignment="1">
      <alignment vertical="center"/>
    </xf>
    <xf numFmtId="0" fontId="7" fillId="12" borderId="11" xfId="0" applyFont="1" applyFill="1" applyBorder="1" applyAlignment="1">
      <alignment vertical="center"/>
    </xf>
    <xf numFmtId="0" fontId="7" fillId="12" borderId="10" xfId="0" applyFont="1" applyFill="1" applyBorder="1" applyAlignment="1">
      <alignment vertical="center"/>
    </xf>
    <xf numFmtId="0" fontId="1" fillId="12" borderId="11" xfId="0" applyFont="1" applyFill="1" applyBorder="1" applyAlignment="1">
      <alignment horizontal="center" vertical="center"/>
    </xf>
    <xf numFmtId="0" fontId="1" fillId="12" borderId="10" xfId="0" applyFont="1" applyFill="1" applyBorder="1" applyAlignment="1">
      <alignment vertical="center"/>
    </xf>
    <xf numFmtId="3" fontId="0" fillId="12" borderId="22" xfId="0" applyNumberFormat="1" applyFont="1" applyFill="1" applyBorder="1" applyAlignment="1">
      <alignment vertical="center"/>
    </xf>
    <xf numFmtId="3" fontId="0" fillId="12" borderId="21" xfId="0" applyNumberFormat="1" applyFont="1" applyFill="1" applyBorder="1" applyAlignment="1">
      <alignment horizontal="center" vertical="center"/>
    </xf>
    <xf numFmtId="3" fontId="0" fillId="12" borderId="23" xfId="0" applyNumberFormat="1" applyFont="1" applyFill="1" applyBorder="1" applyAlignment="1">
      <alignment vertical="center"/>
    </xf>
    <xf numFmtId="0" fontId="0" fillId="12" borderId="10" xfId="0" applyFill="1" applyBorder="1"/>
    <xf numFmtId="0" fontId="2" fillId="12" borderId="24" xfId="0" applyFont="1" applyFill="1" applyBorder="1" applyAlignment="1" applyProtection="1">
      <alignment horizontal="left" vertical="top"/>
      <protection locked="0"/>
    </xf>
    <xf numFmtId="0" fontId="0" fillId="12" borderId="30" xfId="0" applyFill="1" applyBorder="1"/>
    <xf numFmtId="0" fontId="2" fillId="12" borderId="10" xfId="0" applyFont="1" applyFill="1" applyBorder="1" applyAlignment="1" applyProtection="1">
      <alignment horizontal="left" vertical="top"/>
      <protection locked="0"/>
    </xf>
    <xf numFmtId="3" fontId="1" fillId="12" borderId="1" xfId="0" applyNumberFormat="1" applyFont="1" applyFill="1" applyBorder="1" applyAlignment="1">
      <alignment horizontal="center" vertical="center" wrapText="1"/>
    </xf>
    <xf numFmtId="0" fontId="2" fillId="12" borderId="12" xfId="0" applyFont="1" applyFill="1" applyBorder="1" applyAlignment="1">
      <alignment horizontal="left" vertical="center"/>
    </xf>
    <xf numFmtId="0" fontId="0" fillId="12" borderId="11" xfId="0" applyFont="1" applyFill="1" applyBorder="1" applyAlignment="1">
      <alignment horizontal="left" vertical="center"/>
    </xf>
    <xf numFmtId="0" fontId="0" fillId="12" borderId="10" xfId="0" applyFont="1" applyFill="1" applyBorder="1" applyAlignment="1">
      <alignment horizontal="left" vertical="center"/>
    </xf>
    <xf numFmtId="0" fontId="0" fillId="4" borderId="12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3" fontId="0" fillId="4" borderId="1" xfId="0" applyNumberFormat="1" applyFont="1" applyFill="1" applyBorder="1" applyAlignment="1">
      <alignment vertical="center"/>
    </xf>
    <xf numFmtId="3" fontId="0" fillId="4" borderId="1" xfId="0" applyNumberFormat="1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3" fontId="7" fillId="11" borderId="1" xfId="0" applyNumberFormat="1" applyFont="1" applyFill="1" applyBorder="1" applyAlignment="1" applyProtection="1">
      <alignment horizontal="center"/>
    </xf>
    <xf numFmtId="0" fontId="0" fillId="11" borderId="1" xfId="0" applyFill="1" applyBorder="1" applyAlignment="1" applyProtection="1">
      <alignment horizontal="center"/>
      <protection hidden="1"/>
    </xf>
    <xf numFmtId="3" fontId="0" fillId="11" borderId="1" xfId="0" applyNumberFormat="1" applyFill="1" applyBorder="1" applyAlignment="1" applyProtection="1">
      <alignment horizontal="center"/>
      <protection hidden="1"/>
    </xf>
    <xf numFmtId="10" fontId="1" fillId="11" borderId="1" xfId="1" applyNumberFormat="1" applyFont="1" applyFill="1" applyBorder="1" applyAlignment="1" applyProtection="1">
      <alignment horizontal="center"/>
    </xf>
    <xf numFmtId="9" fontId="1" fillId="11" borderId="1" xfId="1" applyFont="1" applyFill="1" applyBorder="1" applyAlignment="1" applyProtection="1">
      <alignment horizontal="center"/>
    </xf>
    <xf numFmtId="3" fontId="1" fillId="11" borderId="1" xfId="0" applyNumberFormat="1" applyFont="1" applyFill="1" applyBorder="1" applyProtection="1"/>
    <xf numFmtId="3" fontId="7" fillId="11" borderId="1" xfId="0" applyNumberFormat="1" applyFont="1" applyFill="1" applyBorder="1" applyAlignment="1" applyProtection="1">
      <alignment horizontal="center" shrinkToFit="1"/>
    </xf>
    <xf numFmtId="3" fontId="0" fillId="11" borderId="1" xfId="0" applyNumberFormat="1" applyFont="1" applyFill="1" applyBorder="1" applyAlignment="1">
      <alignment horizontal="center" vertical="center" wrapText="1"/>
    </xf>
    <xf numFmtId="166" fontId="0" fillId="11" borderId="1" xfId="2" applyNumberFormat="1" applyFont="1" applyFill="1" applyBorder="1" applyAlignment="1">
      <alignment horizontal="right" vertical="center"/>
    </xf>
    <xf numFmtId="166" fontId="1" fillId="11" borderId="1" xfId="2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166" fontId="0" fillId="0" borderId="1" xfId="2" applyNumberFormat="1" applyFont="1" applyBorder="1" applyAlignment="1">
      <alignment horizontal="right" vertical="center"/>
    </xf>
    <xf numFmtId="166" fontId="1" fillId="4" borderId="1" xfId="2" applyNumberFormat="1" applyFont="1" applyFill="1" applyBorder="1" applyAlignment="1">
      <alignment horizontal="right" vertical="center"/>
    </xf>
    <xf numFmtId="166" fontId="0" fillId="0" borderId="3" xfId="2" applyNumberFormat="1" applyFont="1" applyFill="1" applyBorder="1" applyAlignment="1">
      <alignment horizontal="right" vertical="center"/>
    </xf>
    <xf numFmtId="166" fontId="0" fillId="8" borderId="3" xfId="2" applyNumberFormat="1" applyFont="1" applyFill="1" applyBorder="1" applyAlignment="1">
      <alignment horizontal="right" vertical="center"/>
    </xf>
    <xf numFmtId="166" fontId="0" fillId="9" borderId="3" xfId="2" applyNumberFormat="1" applyFont="1" applyFill="1" applyBorder="1" applyAlignment="1">
      <alignment horizontal="right" vertical="center"/>
    </xf>
    <xf numFmtId="166" fontId="0" fillId="12" borderId="3" xfId="2" applyNumberFormat="1" applyFont="1" applyFill="1" applyBorder="1" applyAlignment="1">
      <alignment horizontal="right" vertical="center"/>
    </xf>
    <xf numFmtId="166" fontId="1" fillId="4" borderId="11" xfId="2" applyNumberFormat="1" applyFont="1" applyFill="1" applyBorder="1" applyAlignment="1">
      <alignment horizontal="right" vertical="center"/>
    </xf>
    <xf numFmtId="166" fontId="1" fillId="4" borderId="17" xfId="2" applyNumberFormat="1" applyFont="1" applyFill="1" applyBorder="1" applyAlignment="1">
      <alignment horizontal="right" vertical="center"/>
    </xf>
    <xf numFmtId="166" fontId="0" fillId="0" borderId="0" xfId="2" applyNumberFormat="1" applyFont="1" applyBorder="1" applyAlignment="1">
      <alignment horizontal="right" vertical="center"/>
    </xf>
    <xf numFmtId="166" fontId="0" fillId="0" borderId="3" xfId="2" applyNumberFormat="1" applyFont="1" applyBorder="1" applyAlignment="1">
      <alignment horizontal="right" vertical="center"/>
    </xf>
    <xf numFmtId="166" fontId="0" fillId="8" borderId="0" xfId="2" applyNumberFormat="1" applyFont="1" applyFill="1" applyBorder="1" applyAlignment="1">
      <alignment horizontal="right" vertical="center"/>
    </xf>
    <xf numFmtId="166" fontId="0" fillId="0" borderId="0" xfId="2" applyNumberFormat="1" applyFont="1" applyFill="1" applyBorder="1" applyAlignment="1">
      <alignment horizontal="right" vertical="center"/>
    </xf>
    <xf numFmtId="166" fontId="1" fillId="4" borderId="19" xfId="2" applyNumberFormat="1" applyFont="1" applyFill="1" applyBorder="1" applyAlignment="1">
      <alignment horizontal="right" vertical="center"/>
    </xf>
    <xf numFmtId="166" fontId="1" fillId="4" borderId="20" xfId="2" applyNumberFormat="1" applyFont="1" applyFill="1" applyBorder="1" applyAlignment="1">
      <alignment horizontal="right" vertical="center"/>
    </xf>
    <xf numFmtId="166" fontId="0" fillId="12" borderId="0" xfId="2" applyNumberFormat="1" applyFont="1" applyFill="1" applyBorder="1" applyAlignment="1">
      <alignment vertical="center"/>
    </xf>
    <xf numFmtId="166" fontId="0" fillId="12" borderId="3" xfId="2" applyNumberFormat="1" applyFont="1" applyFill="1" applyBorder="1" applyAlignment="1">
      <alignment vertical="center"/>
    </xf>
    <xf numFmtId="166" fontId="0" fillId="0" borderId="0" xfId="2" applyNumberFormat="1" applyFont="1" applyBorder="1" applyAlignment="1">
      <alignment vertical="center"/>
    </xf>
    <xf numFmtId="166" fontId="0" fillId="0" borderId="3" xfId="2" applyNumberFormat="1" applyFont="1" applyBorder="1" applyAlignment="1">
      <alignment vertical="center"/>
    </xf>
    <xf numFmtId="166" fontId="0" fillId="9" borderId="0" xfId="2" applyNumberFormat="1" applyFont="1" applyFill="1" applyBorder="1" applyAlignment="1">
      <alignment horizontal="right" vertical="center"/>
    </xf>
    <xf numFmtId="166" fontId="1" fillId="9" borderId="3" xfId="2" applyNumberFormat="1" applyFont="1" applyFill="1" applyBorder="1" applyAlignment="1">
      <alignment horizontal="right" vertical="center"/>
    </xf>
    <xf numFmtId="166" fontId="0" fillId="12" borderId="0" xfId="2" applyNumberFormat="1" applyFont="1" applyFill="1" applyBorder="1" applyAlignment="1">
      <alignment horizontal="right" vertical="center"/>
    </xf>
    <xf numFmtId="166" fontId="0" fillId="0" borderId="5" xfId="2" applyNumberFormat="1" applyFont="1" applyBorder="1" applyAlignment="1">
      <alignment vertical="center"/>
    </xf>
    <xf numFmtId="166" fontId="0" fillId="0" borderId="6" xfId="2" applyNumberFormat="1" applyFont="1" applyBorder="1" applyAlignment="1">
      <alignment vertical="center"/>
    </xf>
    <xf numFmtId="166" fontId="0" fillId="0" borderId="0" xfId="2" applyNumberFormat="1" applyFont="1" applyAlignment="1">
      <alignment vertical="center"/>
    </xf>
    <xf numFmtId="166" fontId="4" fillId="0" borderId="8" xfId="2" applyNumberFormat="1" applyFont="1" applyBorder="1" applyAlignment="1">
      <alignment vertical="center"/>
    </xf>
    <xf numFmtId="166" fontId="4" fillId="0" borderId="9" xfId="2" applyNumberFormat="1" applyFont="1" applyBorder="1" applyAlignment="1">
      <alignment vertical="center"/>
    </xf>
    <xf numFmtId="166" fontId="0" fillId="0" borderId="14" xfId="2" applyNumberFormat="1" applyFont="1" applyBorder="1" applyAlignment="1">
      <alignment vertical="center"/>
    </xf>
    <xf numFmtId="166" fontId="0" fillId="0" borderId="15" xfId="2" applyNumberFormat="1" applyFont="1" applyBorder="1" applyAlignment="1">
      <alignment vertical="center"/>
    </xf>
    <xf numFmtId="166" fontId="1" fillId="0" borderId="3" xfId="2" applyNumberFormat="1" applyFont="1" applyBorder="1" applyAlignment="1">
      <alignment horizontal="center" vertical="center"/>
    </xf>
    <xf numFmtId="166" fontId="0" fillId="4" borderId="0" xfId="2" applyNumberFormat="1" applyFont="1" applyFill="1" applyBorder="1" applyAlignment="1">
      <alignment vertical="center"/>
    </xf>
    <xf numFmtId="166" fontId="0" fillId="4" borderId="3" xfId="2" applyNumberFormat="1" applyFont="1" applyFill="1" applyBorder="1" applyAlignment="1">
      <alignment vertical="center"/>
    </xf>
    <xf numFmtId="166" fontId="8" fillId="0" borderId="0" xfId="2" applyNumberFormat="1" applyFont="1" applyBorder="1" applyAlignment="1">
      <alignment vertical="center"/>
    </xf>
    <xf numFmtId="166" fontId="1" fillId="0" borderId="3" xfId="2" applyNumberFormat="1" applyFont="1" applyBorder="1" applyAlignment="1">
      <alignment horizontal="right" vertical="center"/>
    </xf>
    <xf numFmtId="166" fontId="0" fillId="4" borderId="3" xfId="2" applyNumberFormat="1" applyFont="1" applyFill="1" applyBorder="1" applyAlignment="1">
      <alignment horizontal="right" vertical="center"/>
    </xf>
    <xf numFmtId="166" fontId="0" fillId="0" borderId="1" xfId="2" applyNumberFormat="1" applyFont="1" applyFill="1" applyBorder="1" applyAlignment="1">
      <alignment horizontal="right" vertical="center"/>
    </xf>
    <xf numFmtId="166" fontId="0" fillId="4" borderId="1" xfId="2" applyNumberFormat="1" applyFont="1" applyFill="1" applyBorder="1" applyAlignment="1">
      <alignment horizontal="right" vertical="center"/>
    </xf>
    <xf numFmtId="166" fontId="1" fillId="0" borderId="0" xfId="2" applyNumberFormat="1" applyFont="1" applyBorder="1" applyAlignment="1">
      <alignment horizontal="right" vertical="center"/>
    </xf>
    <xf numFmtId="166" fontId="0" fillId="4" borderId="0" xfId="2" applyNumberFormat="1" applyFont="1" applyFill="1" applyBorder="1" applyAlignment="1">
      <alignment horizontal="right" vertical="center"/>
    </xf>
    <xf numFmtId="166" fontId="1" fillId="0" borderId="0" xfId="2" applyNumberFormat="1" applyFont="1" applyBorder="1" applyAlignment="1">
      <alignment vertical="center"/>
    </xf>
    <xf numFmtId="166" fontId="0" fillId="11" borderId="1" xfId="2" applyNumberFormat="1" applyFont="1" applyFill="1" applyBorder="1"/>
    <xf numFmtId="166" fontId="14" fillId="13" borderId="1" xfId="0" applyNumberFormat="1" applyFont="1" applyFill="1" applyBorder="1"/>
    <xf numFmtId="166" fontId="0" fillId="7" borderId="1" xfId="2" applyNumberFormat="1" applyFont="1" applyFill="1" applyBorder="1" applyAlignment="1">
      <alignment horizontal="right" vertical="center"/>
    </xf>
    <xf numFmtId="166" fontId="0" fillId="0" borderId="1" xfId="2" applyNumberFormat="1" applyFont="1" applyBorder="1" applyAlignment="1" applyProtection="1">
      <alignment vertical="center"/>
      <protection hidden="1"/>
    </xf>
    <xf numFmtId="166" fontId="0" fillId="7" borderId="1" xfId="2" applyNumberFormat="1" applyFont="1" applyFill="1" applyBorder="1" applyProtection="1">
      <protection hidden="1"/>
    </xf>
    <xf numFmtId="166" fontId="0" fillId="4" borderId="1" xfId="2" applyNumberFormat="1" applyFont="1" applyFill="1" applyBorder="1" applyAlignment="1" applyProtection="1">
      <alignment vertical="center"/>
      <protection hidden="1"/>
    </xf>
    <xf numFmtId="166" fontId="0" fillId="4" borderId="1" xfId="2" applyNumberFormat="1" applyFont="1" applyFill="1" applyBorder="1" applyProtection="1">
      <protection hidden="1"/>
    </xf>
    <xf numFmtId="166" fontId="0" fillId="11" borderId="1" xfId="2" applyNumberFormat="1" applyFont="1" applyFill="1" applyBorder="1" applyAlignment="1" applyProtection="1">
      <alignment horizontal="right"/>
      <protection hidden="1"/>
    </xf>
    <xf numFmtId="166" fontId="0" fillId="11" borderId="1" xfId="2" applyNumberFormat="1" applyFont="1" applyFill="1" applyBorder="1" applyAlignment="1" applyProtection="1">
      <alignment horizontal="right"/>
    </xf>
    <xf numFmtId="166" fontId="1" fillId="11" borderId="1" xfId="2" applyNumberFormat="1" applyFont="1" applyFill="1" applyBorder="1" applyAlignment="1" applyProtection="1">
      <alignment horizontal="right"/>
    </xf>
    <xf numFmtId="166" fontId="0" fillId="5" borderId="1" xfId="2" applyNumberFormat="1" applyFont="1" applyFill="1" applyBorder="1" applyAlignment="1">
      <alignment vertical="center"/>
    </xf>
    <xf numFmtId="166" fontId="0" fillId="5" borderId="10" xfId="2" applyNumberFormat="1" applyFont="1" applyFill="1" applyBorder="1" applyAlignment="1">
      <alignment horizontal="right" vertical="center"/>
    </xf>
    <xf numFmtId="166" fontId="0" fillId="11" borderId="29" xfId="2" applyNumberFormat="1" applyFont="1" applyFill="1" applyBorder="1"/>
    <xf numFmtId="166" fontId="7" fillId="11" borderId="1" xfId="2" applyNumberFormat="1" applyFont="1" applyFill="1" applyBorder="1" applyAlignment="1" applyProtection="1">
      <alignment horizontal="right"/>
    </xf>
    <xf numFmtId="166" fontId="0" fillId="5" borderId="0" xfId="2" applyNumberFormat="1" applyFont="1" applyFill="1" applyBorder="1" applyAlignment="1">
      <alignment horizontal="right" vertical="center"/>
    </xf>
    <xf numFmtId="166" fontId="0" fillId="0" borderId="0" xfId="2" applyNumberFormat="1" applyFont="1" applyAlignment="1">
      <alignment horizontal="right" vertical="center"/>
    </xf>
    <xf numFmtId="166" fontId="0" fillId="5" borderId="3" xfId="2" applyNumberFormat="1" applyFont="1" applyFill="1" applyBorder="1" applyAlignment="1">
      <alignment horizontal="right" vertical="center"/>
    </xf>
    <xf numFmtId="166" fontId="7" fillId="0" borderId="0" xfId="2" applyNumberFormat="1" applyFont="1" applyBorder="1" applyAlignment="1">
      <alignment horizontal="right" vertical="center"/>
    </xf>
    <xf numFmtId="166" fontId="2" fillId="0" borderId="0" xfId="2" applyNumberFormat="1" applyFont="1" applyBorder="1" applyAlignment="1">
      <alignment horizontal="right" vertical="center"/>
    </xf>
    <xf numFmtId="166" fontId="7" fillId="4" borderId="0" xfId="2" applyNumberFormat="1" applyFont="1" applyFill="1" applyBorder="1" applyAlignment="1">
      <alignment horizontal="right" vertical="center"/>
    </xf>
    <xf numFmtId="166" fontId="7" fillId="0" borderId="0" xfId="2" applyNumberFormat="1" applyFont="1" applyBorder="1" applyAlignment="1">
      <alignment vertical="center"/>
    </xf>
    <xf numFmtId="166" fontId="2" fillId="0" borderId="0" xfId="2" applyNumberFormat="1" applyFont="1" applyBorder="1" applyAlignment="1">
      <alignment vertical="center"/>
    </xf>
    <xf numFmtId="3" fontId="0" fillId="10" borderId="1" xfId="0" applyNumberFormat="1" applyFont="1" applyFill="1" applyBorder="1" applyAlignment="1">
      <alignment horizontal="center" vertical="center"/>
    </xf>
    <xf numFmtId="0" fontId="0" fillId="10" borderId="1" xfId="0" applyNumberFormat="1" applyFont="1" applyFill="1" applyBorder="1" applyAlignment="1">
      <alignment horizontal="center" vertical="center"/>
    </xf>
    <xf numFmtId="166" fontId="0" fillId="11" borderId="1" xfId="2" applyNumberFormat="1" applyFont="1" applyFill="1" applyBorder="1" applyProtection="1">
      <protection hidden="1"/>
    </xf>
    <xf numFmtId="167" fontId="7" fillId="10" borderId="1" xfId="1" applyNumberFormat="1" applyFont="1" applyFill="1" applyBorder="1" applyAlignment="1" applyProtection="1">
      <alignment horizontal="center"/>
    </xf>
    <xf numFmtId="0" fontId="1" fillId="12" borderId="22" xfId="0" applyFont="1" applyFill="1" applyBorder="1" applyAlignment="1">
      <alignment horizontal="center" vertical="center"/>
    </xf>
    <xf numFmtId="9" fontId="7" fillId="12" borderId="1" xfId="0" applyNumberFormat="1" applyFont="1" applyFill="1" applyBorder="1" applyAlignment="1">
      <alignment horizontal="center" vertical="center"/>
    </xf>
    <xf numFmtId="0" fontId="0" fillId="12" borderId="12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horizontal="right" vertical="center" wrapText="1"/>
    </xf>
    <xf numFmtId="0" fontId="2" fillId="4" borderId="1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 indent="4"/>
    </xf>
    <xf numFmtId="166" fontId="0" fillId="10" borderId="1" xfId="2" applyNumberFormat="1" applyFont="1" applyFill="1" applyBorder="1" applyAlignment="1" applyProtection="1">
      <alignment horizontal="right"/>
    </xf>
    <xf numFmtId="0" fontId="1" fillId="12" borderId="12" xfId="0" applyFont="1" applyFill="1" applyBorder="1" applyAlignment="1">
      <alignment horizontal="center" vertical="center"/>
    </xf>
    <xf numFmtId="0" fontId="1" fillId="12" borderId="10" xfId="0" applyFont="1" applyFill="1" applyBorder="1" applyAlignment="1">
      <alignment horizontal="center" vertical="center"/>
    </xf>
    <xf numFmtId="0" fontId="2" fillId="12" borderId="11" xfId="0" applyFont="1" applyFill="1" applyBorder="1" applyAlignment="1" applyProtection="1">
      <alignment horizontal="center" vertical="top"/>
      <protection locked="0"/>
    </xf>
    <xf numFmtId="3" fontId="0" fillId="11" borderId="1" xfId="0" applyNumberFormat="1" applyFill="1" applyBorder="1" applyAlignment="1">
      <alignment horizontal="right" vertical="center"/>
    </xf>
    <xf numFmtId="9" fontId="1" fillId="7" borderId="1" xfId="1" applyFont="1" applyFill="1" applyBorder="1" applyAlignment="1">
      <alignment horizontal="center" vertical="center"/>
    </xf>
    <xf numFmtId="166" fontId="1" fillId="7" borderId="1" xfId="2" applyNumberFormat="1" applyFont="1" applyFill="1" applyBorder="1" applyAlignment="1">
      <alignment horizontal="right" vertical="center"/>
    </xf>
    <xf numFmtId="0" fontId="0" fillId="5" borderId="12" xfId="0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2" fillId="12" borderId="12" xfId="0" applyFont="1" applyFill="1" applyBorder="1" applyAlignment="1" applyProtection="1">
      <alignment horizontal="center" vertical="top" shrinkToFit="1"/>
      <protection locked="0"/>
    </xf>
    <xf numFmtId="0" fontId="2" fillId="12" borderId="11" xfId="0" applyFont="1" applyFill="1" applyBorder="1" applyAlignment="1" applyProtection="1">
      <alignment horizontal="center" vertical="top" shrinkToFit="1"/>
      <protection locked="0"/>
    </xf>
    <xf numFmtId="0" fontId="2" fillId="12" borderId="10" xfId="0" applyFont="1" applyFill="1" applyBorder="1" applyAlignment="1" applyProtection="1">
      <alignment horizontal="center" vertical="top" shrinkToFit="1"/>
      <protection locked="0"/>
    </xf>
    <xf numFmtId="0" fontId="1" fillId="12" borderId="22" xfId="0" applyFont="1" applyFill="1" applyBorder="1" applyAlignment="1">
      <alignment horizontal="center" vertical="center"/>
    </xf>
    <xf numFmtId="0" fontId="1" fillId="12" borderId="21" xfId="0" applyFont="1" applyFill="1" applyBorder="1" applyAlignment="1">
      <alignment horizontal="center" vertical="center"/>
    </xf>
    <xf numFmtId="0" fontId="1" fillId="12" borderId="23" xfId="0" applyFont="1" applyFill="1" applyBorder="1" applyAlignment="1">
      <alignment horizontal="center" vertical="center"/>
    </xf>
    <xf numFmtId="0" fontId="1" fillId="12" borderId="12" xfId="0" applyFont="1" applyFill="1" applyBorder="1" applyAlignment="1">
      <alignment horizontal="center" vertical="center"/>
    </xf>
    <xf numFmtId="0" fontId="1" fillId="12" borderId="11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Porcentual" xfId="1" builtinId="5"/>
  </cellStyles>
  <dxfs count="0"/>
  <tableStyles count="0" defaultTableStyle="TableStyleMedium2" defaultPivotStyle="PivotStyleLight16"/>
  <colors>
    <mruColors>
      <color rgb="FFFFF2CC"/>
      <color rgb="FFDFFFFF"/>
      <color rgb="FF1A4344"/>
      <color rgb="FF3756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AC131"/>
  <sheetViews>
    <sheetView showGridLines="0" tabSelected="1" workbookViewId="0">
      <selection activeCell="A2" sqref="A2"/>
    </sheetView>
  </sheetViews>
  <sheetFormatPr baseColWidth="10" defaultColWidth="10.875" defaultRowHeight="15.75"/>
  <cols>
    <col min="1" max="1" width="4.875" style="4" customWidth="1"/>
    <col min="2" max="2" width="5.375" style="4" customWidth="1"/>
    <col min="3" max="8" width="14.875" style="4" customWidth="1"/>
    <col min="9" max="10" width="4.875" style="4" customWidth="1"/>
    <col min="11" max="11" width="5.375" style="4" customWidth="1"/>
    <col min="12" max="12" width="17.875" style="4" customWidth="1"/>
    <col min="13" max="13" width="16.125" style="4" customWidth="1"/>
    <col min="14" max="19" width="12.875" style="4" customWidth="1"/>
    <col min="20" max="20" width="4.875" style="4" customWidth="1"/>
    <col min="21" max="21" width="16.875" style="4" customWidth="1"/>
    <col min="22" max="16384" width="10.875" style="4"/>
  </cols>
  <sheetData>
    <row r="2" spans="2:21" ht="23.25">
      <c r="B2" s="260" t="s">
        <v>254</v>
      </c>
    </row>
    <row r="3" spans="2:21" ht="23.25">
      <c r="B3" s="77" t="s">
        <v>337</v>
      </c>
      <c r="U3" s="261"/>
    </row>
    <row r="4" spans="2:21" ht="23.25">
      <c r="B4" s="77" t="s">
        <v>338</v>
      </c>
      <c r="U4" s="261"/>
    </row>
    <row r="5" spans="2:21" ht="23.25">
      <c r="B5" s="77" t="s">
        <v>339</v>
      </c>
      <c r="U5" s="261"/>
    </row>
    <row r="6" spans="2:21" ht="23.25">
      <c r="B6" s="77" t="s">
        <v>340</v>
      </c>
      <c r="U6" s="261"/>
    </row>
    <row r="7" spans="2:21" ht="23.25">
      <c r="B7" s="77" t="s">
        <v>341</v>
      </c>
      <c r="U7" s="261"/>
    </row>
    <row r="8" spans="2:21" ht="23.25">
      <c r="B8" s="77" t="s">
        <v>342</v>
      </c>
      <c r="U8" s="261"/>
    </row>
    <row r="9" spans="2:21" ht="23.25">
      <c r="B9" s="77" t="s">
        <v>343</v>
      </c>
      <c r="U9" s="261"/>
    </row>
    <row r="10" spans="2:21" ht="23.25">
      <c r="B10" s="77" t="s">
        <v>344</v>
      </c>
      <c r="U10" s="261"/>
    </row>
    <row r="11" spans="2:21" ht="16.5" thickBot="1"/>
    <row r="12" spans="2:21" ht="27" thickBot="1">
      <c r="B12" s="111" t="s">
        <v>2</v>
      </c>
      <c r="C12" s="112"/>
      <c r="D12" s="112"/>
      <c r="E12" s="112"/>
      <c r="F12" s="112"/>
      <c r="G12" s="112"/>
      <c r="H12" s="113"/>
      <c r="K12" s="144" t="s">
        <v>1</v>
      </c>
      <c r="L12" s="145"/>
      <c r="M12" s="145"/>
      <c r="N12" s="145"/>
      <c r="O12" s="145"/>
      <c r="P12" s="145"/>
      <c r="Q12" s="145"/>
      <c r="R12" s="145"/>
      <c r="S12" s="145"/>
      <c r="T12" s="146"/>
    </row>
    <row r="13" spans="2:21">
      <c r="B13" s="18"/>
      <c r="C13" s="19"/>
      <c r="D13" s="19"/>
      <c r="E13" s="19"/>
      <c r="F13" s="19"/>
      <c r="G13" s="19"/>
      <c r="H13" s="40"/>
      <c r="K13" s="74"/>
      <c r="L13" s="69"/>
      <c r="M13" s="69"/>
      <c r="N13" s="69"/>
      <c r="O13" s="69"/>
      <c r="P13" s="69"/>
      <c r="Q13" s="69"/>
      <c r="R13" s="69"/>
      <c r="S13" s="69"/>
      <c r="T13" s="138"/>
    </row>
    <row r="14" spans="2:21">
      <c r="B14" s="176" t="s">
        <v>20</v>
      </c>
      <c r="C14" s="177"/>
      <c r="D14" s="177"/>
      <c r="E14" s="177"/>
      <c r="F14" s="177"/>
      <c r="G14" s="177"/>
      <c r="H14" s="178"/>
      <c r="K14" s="74"/>
      <c r="L14" s="130" t="s">
        <v>223</v>
      </c>
      <c r="M14" s="69"/>
      <c r="N14" s="69"/>
      <c r="O14" s="69"/>
      <c r="P14" s="130" t="s">
        <v>275</v>
      </c>
      <c r="Q14" s="69"/>
      <c r="R14" s="69"/>
      <c r="S14" s="69"/>
      <c r="T14" s="138"/>
    </row>
    <row r="15" spans="2:21">
      <c r="B15" s="17" t="s">
        <v>238</v>
      </c>
      <c r="C15" s="21"/>
      <c r="D15" s="21"/>
      <c r="E15" s="21"/>
      <c r="F15" s="21"/>
      <c r="G15" s="21"/>
      <c r="H15" s="47"/>
      <c r="K15" s="74"/>
      <c r="L15" s="135"/>
      <c r="M15" s="135"/>
      <c r="N15" s="69"/>
      <c r="O15" s="69"/>
      <c r="P15" s="135"/>
      <c r="Q15" s="135"/>
      <c r="R15" s="69"/>
      <c r="S15" s="69"/>
      <c r="T15" s="138"/>
    </row>
    <row r="16" spans="2:21">
      <c r="B16" s="20" t="s">
        <v>21</v>
      </c>
      <c r="C16" s="21"/>
      <c r="D16" s="21"/>
      <c r="E16" s="21"/>
      <c r="F16" s="21"/>
      <c r="G16" s="25"/>
      <c r="H16" s="265">
        <v>5000000000</v>
      </c>
      <c r="K16" s="74"/>
      <c r="L16" s="169" t="s">
        <v>225</v>
      </c>
      <c r="M16" s="169" t="s">
        <v>378</v>
      </c>
      <c r="N16" s="69"/>
      <c r="O16" s="69"/>
      <c r="P16" s="169" t="s">
        <v>276</v>
      </c>
      <c r="Q16" s="169" t="s">
        <v>277</v>
      </c>
      <c r="R16" s="69"/>
      <c r="S16" s="69"/>
      <c r="T16" s="138"/>
    </row>
    <row r="17" spans="2:20">
      <c r="B17" s="68" t="s">
        <v>239</v>
      </c>
      <c r="C17" s="69"/>
      <c r="D17" s="69"/>
      <c r="E17" s="69"/>
      <c r="F17" s="69"/>
      <c r="G17" s="70"/>
      <c r="H17" s="266">
        <f>H16</f>
        <v>5000000000</v>
      </c>
      <c r="K17" s="74"/>
      <c r="L17" s="169" t="s">
        <v>224</v>
      </c>
      <c r="M17" s="52">
        <v>0.3</v>
      </c>
      <c r="N17" s="69"/>
      <c r="O17" s="69"/>
      <c r="P17" s="169" t="s">
        <v>210</v>
      </c>
      <c r="Q17" s="297">
        <v>16980000</v>
      </c>
      <c r="R17" s="69"/>
      <c r="S17" s="69"/>
      <c r="T17" s="138"/>
    </row>
    <row r="18" spans="2:20">
      <c r="B18" s="68" t="s">
        <v>240</v>
      </c>
      <c r="C18" s="69"/>
      <c r="D18" s="69"/>
      <c r="E18" s="69"/>
      <c r="F18" s="69"/>
      <c r="G18" s="70"/>
      <c r="H18" s="266">
        <v>0</v>
      </c>
      <c r="K18" s="74"/>
      <c r="L18" s="169" t="s">
        <v>226</v>
      </c>
      <c r="M18" s="52">
        <v>0.2</v>
      </c>
      <c r="N18" s="69"/>
      <c r="O18" s="69"/>
      <c r="P18" s="147"/>
      <c r="Q18" s="147"/>
      <c r="R18" s="69"/>
      <c r="S18" s="69"/>
      <c r="T18" s="138"/>
    </row>
    <row r="19" spans="2:20">
      <c r="B19" s="71" t="s">
        <v>31</v>
      </c>
      <c r="C19" s="72"/>
      <c r="D19" s="72"/>
      <c r="E19" s="72"/>
      <c r="F19" s="72"/>
      <c r="G19" s="73"/>
      <c r="H19" s="267">
        <v>5000000000</v>
      </c>
      <c r="K19" s="74"/>
      <c r="L19" s="135"/>
      <c r="M19" s="69"/>
      <c r="N19" s="69"/>
      <c r="O19" s="69"/>
      <c r="P19" s="69"/>
      <c r="Q19" s="69"/>
      <c r="R19" s="69"/>
      <c r="S19" s="69"/>
      <c r="T19" s="138"/>
    </row>
    <row r="20" spans="2:20">
      <c r="B20" s="20"/>
      <c r="C20" s="21"/>
      <c r="D20" s="21"/>
      <c r="E20" s="21"/>
      <c r="F20" s="21"/>
      <c r="G20" s="21"/>
      <c r="H20" s="265"/>
      <c r="K20" s="74"/>
      <c r="L20" s="130" t="s">
        <v>244</v>
      </c>
      <c r="M20" s="135"/>
      <c r="N20" s="135"/>
      <c r="O20" s="135"/>
      <c r="P20" s="135"/>
      <c r="Q20" s="69"/>
      <c r="R20" s="69"/>
      <c r="S20" s="69"/>
      <c r="T20" s="138"/>
    </row>
    <row r="21" spans="2:20">
      <c r="B21" s="176" t="s">
        <v>32</v>
      </c>
      <c r="C21" s="177"/>
      <c r="D21" s="177"/>
      <c r="E21" s="177"/>
      <c r="F21" s="177"/>
      <c r="G21" s="179"/>
      <c r="H21" s="268"/>
      <c r="K21" s="74"/>
      <c r="L21" s="135"/>
      <c r="M21" s="135"/>
      <c r="N21" s="202" t="s">
        <v>232</v>
      </c>
      <c r="O21" s="233"/>
      <c r="P21" s="202" t="s">
        <v>233</v>
      </c>
      <c r="Q21" s="233"/>
      <c r="R21" s="202" t="s">
        <v>234</v>
      </c>
      <c r="S21" s="233"/>
      <c r="T21" s="138"/>
    </row>
    <row r="22" spans="2:20">
      <c r="B22" s="68" t="s">
        <v>242</v>
      </c>
      <c r="C22" s="69"/>
      <c r="D22" s="69"/>
      <c r="E22" s="69"/>
      <c r="F22" s="69"/>
      <c r="G22" s="70"/>
      <c r="H22" s="266">
        <v>0</v>
      </c>
      <c r="K22" s="74"/>
      <c r="L22" s="169" t="s">
        <v>104</v>
      </c>
      <c r="M22" s="169" t="s">
        <v>237</v>
      </c>
      <c r="N22" s="169" t="s">
        <v>135</v>
      </c>
      <c r="O22" s="169" t="s">
        <v>134</v>
      </c>
      <c r="P22" s="169" t="s">
        <v>135</v>
      </c>
      <c r="Q22" s="169" t="s">
        <v>134</v>
      </c>
      <c r="R22" s="169" t="s">
        <v>135</v>
      </c>
      <c r="S22" s="169" t="s">
        <v>134</v>
      </c>
      <c r="T22" s="138"/>
    </row>
    <row r="23" spans="2:20">
      <c r="B23" s="68" t="s">
        <v>243</v>
      </c>
      <c r="C23" s="69"/>
      <c r="D23" s="69"/>
      <c r="E23" s="69"/>
      <c r="F23" s="69"/>
      <c r="G23" s="70"/>
      <c r="H23" s="266">
        <v>0</v>
      </c>
      <c r="K23" s="74"/>
      <c r="L23" s="170"/>
      <c r="M23" s="169" t="s">
        <v>235</v>
      </c>
      <c r="N23" s="67">
        <v>0.27</v>
      </c>
      <c r="O23" s="263">
        <f>O26*N23</f>
        <v>1363918.5</v>
      </c>
      <c r="P23" s="67">
        <v>0.17</v>
      </c>
      <c r="Q23" s="263">
        <f>Q26*P23</f>
        <v>564330.30000000005</v>
      </c>
      <c r="R23" s="67">
        <v>0.19</v>
      </c>
      <c r="S23" s="263">
        <f>S26*R23</f>
        <v>1151753.3999999999</v>
      </c>
      <c r="T23" s="138"/>
    </row>
    <row r="24" spans="2:20">
      <c r="B24" s="71" t="s">
        <v>37</v>
      </c>
      <c r="C24" s="72"/>
      <c r="D24" s="72"/>
      <c r="E24" s="72"/>
      <c r="F24" s="72"/>
      <c r="G24" s="73"/>
      <c r="H24" s="267">
        <v>0</v>
      </c>
      <c r="K24" s="74"/>
      <c r="L24" s="171" t="s">
        <v>227</v>
      </c>
      <c r="M24" s="169" t="s">
        <v>236</v>
      </c>
      <c r="N24" s="67">
        <v>0.42</v>
      </c>
      <c r="O24" s="263">
        <f>O26*N24</f>
        <v>2121651</v>
      </c>
      <c r="P24" s="67">
        <v>0.38</v>
      </c>
      <c r="Q24" s="263">
        <f>Q26*P24</f>
        <v>1261444.2</v>
      </c>
      <c r="R24" s="67">
        <v>0.51</v>
      </c>
      <c r="S24" s="263">
        <f>S26*R24</f>
        <v>3091548.6</v>
      </c>
      <c r="T24" s="138"/>
    </row>
    <row r="25" spans="2:20">
      <c r="B25" s="20"/>
      <c r="C25" s="21"/>
      <c r="D25" s="21"/>
      <c r="E25" s="21"/>
      <c r="F25" s="21"/>
      <c r="G25" s="21"/>
      <c r="H25" s="265"/>
      <c r="K25" s="74"/>
      <c r="L25" s="172"/>
      <c r="M25" s="169" t="s">
        <v>7</v>
      </c>
      <c r="N25" s="67">
        <v>0.31</v>
      </c>
      <c r="O25" s="263">
        <f>O26*N25</f>
        <v>1565980.5</v>
      </c>
      <c r="P25" s="67">
        <v>0.45</v>
      </c>
      <c r="Q25" s="263">
        <f>Q26*P25</f>
        <v>1493815.5</v>
      </c>
      <c r="R25" s="67">
        <v>0.3</v>
      </c>
      <c r="S25" s="263">
        <f>S26*R25</f>
        <v>1818558</v>
      </c>
      <c r="T25" s="138"/>
    </row>
    <row r="26" spans="2:20">
      <c r="B26" s="176" t="s">
        <v>38</v>
      </c>
      <c r="C26" s="177"/>
      <c r="D26" s="177"/>
      <c r="E26" s="177"/>
      <c r="F26" s="177"/>
      <c r="G26" s="179"/>
      <c r="H26" s="268"/>
      <c r="K26" s="74"/>
      <c r="L26" s="173"/>
      <c r="M26" s="169" t="s">
        <v>155</v>
      </c>
      <c r="N26" s="174">
        <v>0.85</v>
      </c>
      <c r="O26" s="264">
        <f>O35*N26</f>
        <v>5051550</v>
      </c>
      <c r="P26" s="174">
        <v>0.85</v>
      </c>
      <c r="Q26" s="264">
        <f>Q35*P26</f>
        <v>3319590</v>
      </c>
      <c r="R26" s="174">
        <v>0.85</v>
      </c>
      <c r="S26" s="264">
        <f>S35*R26</f>
        <v>6061860</v>
      </c>
      <c r="T26" s="138"/>
    </row>
    <row r="27" spans="2:20">
      <c r="B27" s="20" t="s">
        <v>39</v>
      </c>
      <c r="C27" s="21"/>
      <c r="D27" s="21"/>
      <c r="E27" s="21"/>
      <c r="F27" s="21"/>
      <c r="G27" s="25"/>
      <c r="H27" s="265">
        <v>5000000000</v>
      </c>
      <c r="K27" s="74"/>
      <c r="L27" s="170"/>
      <c r="M27" s="169" t="s">
        <v>235</v>
      </c>
      <c r="N27" s="67">
        <v>0.27</v>
      </c>
      <c r="O27" s="263">
        <f>N27*O30</f>
        <v>160461</v>
      </c>
      <c r="P27" s="67">
        <v>0.17</v>
      </c>
      <c r="Q27" s="263">
        <f>P27*Q30</f>
        <v>66391.8</v>
      </c>
      <c r="R27" s="67">
        <v>0.19</v>
      </c>
      <c r="S27" s="263">
        <f>R27*S30</f>
        <v>135500.4</v>
      </c>
      <c r="T27" s="138"/>
    </row>
    <row r="28" spans="2:20">
      <c r="B28" s="71" t="s">
        <v>41</v>
      </c>
      <c r="C28" s="72"/>
      <c r="D28" s="72"/>
      <c r="E28" s="72"/>
      <c r="F28" s="72"/>
      <c r="G28" s="73"/>
      <c r="H28" s="267">
        <v>5000000000</v>
      </c>
      <c r="K28" s="74"/>
      <c r="L28" s="171" t="s">
        <v>158</v>
      </c>
      <c r="M28" s="169" t="s">
        <v>236</v>
      </c>
      <c r="N28" s="67">
        <v>0.42</v>
      </c>
      <c r="O28" s="263">
        <f>N28*O30</f>
        <v>249606</v>
      </c>
      <c r="P28" s="67">
        <v>0.38</v>
      </c>
      <c r="Q28" s="263">
        <f>P28*Q30</f>
        <v>148405.20000000001</v>
      </c>
      <c r="R28" s="67">
        <v>0.51</v>
      </c>
      <c r="S28" s="263">
        <f>R28*S30</f>
        <v>363711.60000000003</v>
      </c>
      <c r="T28" s="138"/>
    </row>
    <row r="29" spans="2:20" ht="16.5" thickBot="1">
      <c r="B29" s="8"/>
      <c r="C29" s="9"/>
      <c r="D29" s="9"/>
      <c r="E29" s="9"/>
      <c r="F29" s="9"/>
      <c r="G29" s="9"/>
      <c r="H29" s="39"/>
      <c r="K29" s="74"/>
      <c r="L29" s="172"/>
      <c r="M29" s="169" t="s">
        <v>7</v>
      </c>
      <c r="N29" s="67">
        <v>0.31</v>
      </c>
      <c r="O29" s="263">
        <f>N29*O30</f>
        <v>184233</v>
      </c>
      <c r="P29" s="67">
        <v>0.45</v>
      </c>
      <c r="Q29" s="263">
        <f>P29*Q30</f>
        <v>175743</v>
      </c>
      <c r="R29" s="67">
        <v>0.3</v>
      </c>
      <c r="S29" s="263">
        <f>R29*S30</f>
        <v>213948</v>
      </c>
      <c r="T29" s="138"/>
    </row>
    <row r="30" spans="2:20">
      <c r="B30" s="2"/>
      <c r="C30" s="2"/>
      <c r="D30" s="2"/>
      <c r="E30" s="2"/>
      <c r="F30" s="2"/>
      <c r="G30" s="2"/>
      <c r="H30" s="2"/>
      <c r="K30" s="74"/>
      <c r="L30" s="173"/>
      <c r="M30" s="169" t="s">
        <v>155</v>
      </c>
      <c r="N30" s="174">
        <v>0.1</v>
      </c>
      <c r="O30" s="264">
        <f>O35*N30</f>
        <v>594300</v>
      </c>
      <c r="P30" s="174">
        <v>0.1</v>
      </c>
      <c r="Q30" s="264">
        <f>Q35*P30</f>
        <v>390540</v>
      </c>
      <c r="R30" s="174">
        <v>0.1</v>
      </c>
      <c r="S30" s="264">
        <f>S35*R30</f>
        <v>713160</v>
      </c>
      <c r="T30" s="138"/>
    </row>
    <row r="31" spans="2:20">
      <c r="B31" s="2"/>
      <c r="C31" s="2"/>
      <c r="D31" s="2"/>
      <c r="E31" s="2"/>
      <c r="F31" s="2"/>
      <c r="G31" s="2"/>
      <c r="H31" s="2"/>
      <c r="K31" s="74"/>
      <c r="L31" s="170"/>
      <c r="M31" s="169" t="s">
        <v>235</v>
      </c>
      <c r="N31" s="67">
        <v>0.27</v>
      </c>
      <c r="O31" s="263">
        <f>N31*O34</f>
        <v>80230.5</v>
      </c>
      <c r="P31" s="67">
        <v>0.17</v>
      </c>
      <c r="Q31" s="263">
        <f>P31*Q34</f>
        <v>33195.9</v>
      </c>
      <c r="R31" s="67">
        <v>0.19</v>
      </c>
      <c r="S31" s="263">
        <f>R31*S34</f>
        <v>67750.2</v>
      </c>
      <c r="T31" s="138"/>
    </row>
    <row r="32" spans="2:20">
      <c r="K32" s="74"/>
      <c r="L32" s="171" t="s">
        <v>159</v>
      </c>
      <c r="M32" s="169" t="s">
        <v>236</v>
      </c>
      <c r="N32" s="67">
        <v>0.42</v>
      </c>
      <c r="O32" s="263">
        <f>N32*O34</f>
        <v>124803</v>
      </c>
      <c r="P32" s="67">
        <v>0.38</v>
      </c>
      <c r="Q32" s="263">
        <f>P32*Q34</f>
        <v>74202.600000000006</v>
      </c>
      <c r="R32" s="67">
        <v>0.51</v>
      </c>
      <c r="S32" s="263">
        <f>R32*S34</f>
        <v>181855.80000000002</v>
      </c>
      <c r="T32" s="138"/>
    </row>
    <row r="33" spans="2:20" ht="15.95" customHeight="1" thickBot="1">
      <c r="K33" s="74"/>
      <c r="L33" s="172"/>
      <c r="M33" s="169" t="s">
        <v>7</v>
      </c>
      <c r="N33" s="67">
        <v>0.31</v>
      </c>
      <c r="O33" s="263">
        <f>N33*O34</f>
        <v>92116.5</v>
      </c>
      <c r="P33" s="67">
        <v>0.45</v>
      </c>
      <c r="Q33" s="263">
        <f>P33*Q34</f>
        <v>87871.5</v>
      </c>
      <c r="R33" s="67">
        <v>0.3</v>
      </c>
      <c r="S33" s="263">
        <f>R33*S34</f>
        <v>106974</v>
      </c>
      <c r="T33" s="138"/>
    </row>
    <row r="34" spans="2:20" ht="27" thickBot="1">
      <c r="B34" s="114" t="s">
        <v>0</v>
      </c>
      <c r="C34" s="115"/>
      <c r="D34" s="115"/>
      <c r="E34" s="115"/>
      <c r="F34" s="115"/>
      <c r="G34" s="115"/>
      <c r="H34" s="115"/>
      <c r="I34" s="116"/>
      <c r="K34" s="74"/>
      <c r="L34" s="172"/>
      <c r="M34" s="328" t="s">
        <v>155</v>
      </c>
      <c r="N34" s="174">
        <v>0.05</v>
      </c>
      <c r="O34" s="264">
        <f>O35*N34</f>
        <v>297150</v>
      </c>
      <c r="P34" s="174">
        <v>0.05</v>
      </c>
      <c r="Q34" s="264">
        <f>Q35*P34</f>
        <v>195270</v>
      </c>
      <c r="R34" s="174">
        <v>0.05</v>
      </c>
      <c r="S34" s="264">
        <f>S35*R34</f>
        <v>356580</v>
      </c>
      <c r="T34" s="138"/>
    </row>
    <row r="35" spans="2:20" ht="15.95" customHeight="1">
      <c r="B35" s="20"/>
      <c r="C35" s="21"/>
      <c r="D35" s="21"/>
      <c r="E35" s="21"/>
      <c r="F35" s="21"/>
      <c r="G35" s="21"/>
      <c r="H35" s="21"/>
      <c r="I35" s="22"/>
      <c r="K35" s="74"/>
      <c r="L35" s="331"/>
      <c r="M35" s="332" t="s">
        <v>358</v>
      </c>
      <c r="N35" s="199">
        <v>0.35</v>
      </c>
      <c r="O35" s="264">
        <f>N35*Q17</f>
        <v>5943000</v>
      </c>
      <c r="P35" s="174">
        <v>0.23</v>
      </c>
      <c r="Q35" s="264">
        <f>P35*Q17</f>
        <v>3905400</v>
      </c>
      <c r="R35" s="174">
        <v>0.42</v>
      </c>
      <c r="S35" s="264">
        <f>R35*Q17</f>
        <v>7131600</v>
      </c>
      <c r="T35" s="138"/>
    </row>
    <row r="36" spans="2:20">
      <c r="B36" s="20"/>
      <c r="C36" s="31" t="s">
        <v>18</v>
      </c>
      <c r="D36" s="31"/>
      <c r="E36" s="21"/>
      <c r="F36" s="342"/>
      <c r="G36" s="343"/>
      <c r="H36" s="21"/>
      <c r="I36" s="22"/>
      <c r="K36" s="74"/>
      <c r="L36" s="135"/>
      <c r="M36" s="135"/>
      <c r="N36" s="135"/>
      <c r="O36" s="135"/>
      <c r="P36" s="135"/>
      <c r="Q36" s="135"/>
      <c r="R36" s="135"/>
      <c r="S36" s="69"/>
      <c r="T36" s="138"/>
    </row>
    <row r="37" spans="2:20">
      <c r="B37" s="20"/>
      <c r="C37" s="31" t="s">
        <v>19</v>
      </c>
      <c r="D37" s="31"/>
      <c r="E37" s="48"/>
      <c r="F37" s="175" t="s">
        <v>210</v>
      </c>
      <c r="G37" s="21"/>
      <c r="H37" s="21"/>
      <c r="I37" s="22"/>
      <c r="K37" s="74"/>
      <c r="L37" s="130" t="s">
        <v>94</v>
      </c>
      <c r="M37" s="69"/>
      <c r="N37" s="69"/>
      <c r="O37" s="69"/>
      <c r="P37" s="69"/>
      <c r="Q37" s="131">
        <v>200000000</v>
      </c>
      <c r="R37" s="131"/>
      <c r="S37" s="69"/>
      <c r="T37" s="138"/>
    </row>
    <row r="38" spans="2:20">
      <c r="B38" s="20"/>
      <c r="C38" s="31"/>
      <c r="D38" s="31"/>
      <c r="E38" s="26"/>
      <c r="F38" s="21"/>
      <c r="G38" s="21"/>
      <c r="H38" s="21"/>
      <c r="I38" s="22"/>
      <c r="K38" s="74"/>
      <c r="L38" s="132"/>
      <c r="M38" s="69"/>
      <c r="N38" s="69"/>
      <c r="O38" s="69"/>
      <c r="P38" s="69"/>
      <c r="Q38" s="69"/>
      <c r="R38" s="69"/>
      <c r="S38" s="69"/>
      <c r="T38" s="138"/>
    </row>
    <row r="39" spans="2:20">
      <c r="B39" s="20"/>
      <c r="C39" s="31"/>
      <c r="D39" s="31"/>
      <c r="E39" s="26"/>
      <c r="F39" s="21"/>
      <c r="G39" s="21"/>
      <c r="H39" s="21"/>
      <c r="I39" s="22"/>
      <c r="K39" s="74"/>
      <c r="L39" s="132"/>
      <c r="M39" s="69"/>
      <c r="N39" s="69"/>
      <c r="O39" s="69"/>
      <c r="P39" s="69"/>
      <c r="Q39" s="69"/>
      <c r="R39" s="69"/>
      <c r="S39" s="69"/>
      <c r="T39" s="138"/>
    </row>
    <row r="40" spans="2:20">
      <c r="B40" s="20"/>
      <c r="C40" s="24" t="s">
        <v>92</v>
      </c>
      <c r="D40" s="21"/>
      <c r="E40" s="21"/>
      <c r="F40" s="21"/>
      <c r="G40" s="21"/>
      <c r="H40" s="21"/>
      <c r="I40" s="22"/>
      <c r="K40" s="74"/>
      <c r="L40" s="133" t="s">
        <v>12</v>
      </c>
      <c r="M40" s="134"/>
      <c r="N40" s="69"/>
      <c r="O40" s="69"/>
      <c r="P40" s="69"/>
      <c r="Q40" s="69"/>
      <c r="R40" s="69"/>
      <c r="S40" s="135"/>
      <c r="T40" s="138"/>
    </row>
    <row r="41" spans="2:20">
      <c r="B41" s="20"/>
      <c r="C41" s="21"/>
      <c r="D41" s="21"/>
      <c r="E41" s="21"/>
      <c r="F41" s="21"/>
      <c r="G41" s="21"/>
      <c r="H41" s="21"/>
      <c r="I41" s="22"/>
      <c r="K41" s="74"/>
      <c r="L41" s="135"/>
      <c r="M41" s="135"/>
      <c r="N41" s="135"/>
      <c r="O41" s="135"/>
      <c r="P41" s="135"/>
      <c r="Q41" s="135"/>
      <c r="R41" s="135"/>
      <c r="S41" s="135"/>
      <c r="T41" s="138"/>
    </row>
    <row r="42" spans="2:20">
      <c r="B42" s="20"/>
      <c r="C42" s="168" t="s">
        <v>3</v>
      </c>
      <c r="D42" s="168" t="s">
        <v>4</v>
      </c>
      <c r="E42" s="168" t="s">
        <v>5</v>
      </c>
      <c r="F42" s="168" t="s">
        <v>6</v>
      </c>
      <c r="G42" s="168" t="s">
        <v>7</v>
      </c>
      <c r="H42" s="168" t="s">
        <v>13</v>
      </c>
      <c r="I42" s="22"/>
      <c r="K42" s="74"/>
      <c r="L42" s="135"/>
      <c r="M42" s="69"/>
      <c r="N42" s="336" t="s">
        <v>15</v>
      </c>
      <c r="O42" s="337"/>
      <c r="P42" s="336" t="s">
        <v>16</v>
      </c>
      <c r="Q42" s="337"/>
      <c r="R42" s="336" t="s">
        <v>17</v>
      </c>
      <c r="S42" s="337"/>
      <c r="T42" s="138"/>
    </row>
    <row r="43" spans="2:20">
      <c r="B43" s="20"/>
      <c r="C43" s="175" t="s">
        <v>8</v>
      </c>
      <c r="D43" s="28"/>
      <c r="E43" s="28"/>
      <c r="F43" s="28"/>
      <c r="G43" s="28"/>
      <c r="H43" s="258">
        <f>IF(D43&lt;&gt;"",200000000,0)</f>
        <v>0</v>
      </c>
      <c r="I43" s="22"/>
      <c r="K43" s="74"/>
      <c r="L43" s="135"/>
      <c r="M43" s="69"/>
      <c r="N43" s="169" t="s">
        <v>10</v>
      </c>
      <c r="O43" s="169" t="s">
        <v>11</v>
      </c>
      <c r="P43" s="169" t="s">
        <v>10</v>
      </c>
      <c r="Q43" s="169" t="s">
        <v>11</v>
      </c>
      <c r="R43" s="169" t="s">
        <v>10</v>
      </c>
      <c r="S43" s="169" t="s">
        <v>11</v>
      </c>
      <c r="T43" s="138"/>
    </row>
    <row r="44" spans="2:20">
      <c r="B44" s="20"/>
      <c r="C44" s="175" t="s">
        <v>9</v>
      </c>
      <c r="D44" s="28"/>
      <c r="E44" s="28"/>
      <c r="F44" s="28"/>
      <c r="G44" s="28"/>
      <c r="H44" s="258">
        <f>IF(D44&lt;&gt;"",200000000,0)</f>
        <v>0</v>
      </c>
      <c r="I44" s="22"/>
      <c r="K44" s="74"/>
      <c r="L44" s="135"/>
      <c r="M44" s="169" t="s">
        <v>8</v>
      </c>
      <c r="N44" s="30">
        <v>440</v>
      </c>
      <c r="O44" s="30">
        <v>479</v>
      </c>
      <c r="P44" s="30">
        <v>172</v>
      </c>
      <c r="Q44" s="30">
        <v>186</v>
      </c>
      <c r="R44" s="30">
        <v>142</v>
      </c>
      <c r="S44" s="30">
        <v>167</v>
      </c>
      <c r="T44" s="138"/>
    </row>
    <row r="45" spans="2:20">
      <c r="B45" s="20"/>
      <c r="C45" s="175" t="s">
        <v>156</v>
      </c>
      <c r="D45" s="28"/>
      <c r="E45" s="28"/>
      <c r="F45" s="28"/>
      <c r="G45" s="28"/>
      <c r="H45" s="258">
        <f>IF(D45&lt;&gt;"",200000000,0)</f>
        <v>0</v>
      </c>
      <c r="I45" s="22"/>
      <c r="K45" s="74"/>
      <c r="L45" s="135"/>
      <c r="M45" s="169" t="s">
        <v>9</v>
      </c>
      <c r="N45" s="188">
        <v>480</v>
      </c>
      <c r="O45" s="188">
        <v>510</v>
      </c>
      <c r="P45" s="188">
        <v>173</v>
      </c>
      <c r="Q45" s="188">
        <v>194</v>
      </c>
      <c r="R45" s="188">
        <v>141</v>
      </c>
      <c r="S45" s="188">
        <v>172</v>
      </c>
      <c r="T45" s="138"/>
    </row>
    <row r="46" spans="2:20">
      <c r="B46" s="20"/>
      <c r="I46" s="42"/>
      <c r="K46" s="74"/>
      <c r="L46" s="135"/>
      <c r="M46" s="169" t="s">
        <v>156</v>
      </c>
      <c r="N46" s="30">
        <v>430</v>
      </c>
      <c r="O46" s="30">
        <v>475</v>
      </c>
      <c r="P46" s="30">
        <v>174</v>
      </c>
      <c r="Q46" s="30">
        <v>195</v>
      </c>
      <c r="R46" s="30">
        <v>150</v>
      </c>
      <c r="S46" s="30">
        <v>185</v>
      </c>
      <c r="T46" s="138"/>
    </row>
    <row r="47" spans="2:20">
      <c r="B47" s="20"/>
      <c r="I47" s="43"/>
      <c r="K47" s="74"/>
      <c r="L47" s="135"/>
      <c r="M47" s="135"/>
      <c r="N47" s="135"/>
      <c r="O47" s="135"/>
      <c r="P47" s="135"/>
      <c r="Q47" s="135"/>
      <c r="R47" s="135"/>
      <c r="S47" s="135"/>
      <c r="T47" s="138"/>
    </row>
    <row r="48" spans="2:20">
      <c r="B48" s="20"/>
      <c r="I48" s="43"/>
      <c r="K48" s="74"/>
      <c r="L48" s="130" t="s">
        <v>299</v>
      </c>
      <c r="M48" s="130"/>
      <c r="N48" s="130"/>
      <c r="O48" s="130"/>
      <c r="P48" s="130"/>
      <c r="Q48" s="131">
        <v>200000000</v>
      </c>
      <c r="R48" s="135"/>
      <c r="S48" s="135"/>
      <c r="T48" s="138"/>
    </row>
    <row r="49" spans="1:21">
      <c r="B49" s="20"/>
      <c r="I49" s="43"/>
      <c r="K49" s="74"/>
      <c r="L49" s="132" t="s">
        <v>14</v>
      </c>
      <c r="M49" s="69"/>
      <c r="N49" s="69"/>
      <c r="O49" s="69"/>
      <c r="P49" s="69"/>
      <c r="Q49" s="69"/>
      <c r="R49" s="135"/>
      <c r="S49" s="135"/>
      <c r="T49" s="138"/>
    </row>
    <row r="50" spans="1:21">
      <c r="B50" s="20"/>
      <c r="I50" s="43"/>
      <c r="K50" s="74"/>
      <c r="L50" s="132"/>
      <c r="M50" s="69"/>
      <c r="N50" s="69"/>
      <c r="O50" s="69"/>
      <c r="P50" s="69"/>
      <c r="Q50" s="69"/>
      <c r="R50" s="135"/>
      <c r="S50" s="135"/>
      <c r="T50" s="138"/>
    </row>
    <row r="51" spans="1:21" ht="16.5" thickBot="1">
      <c r="B51" s="44"/>
      <c r="C51" s="45"/>
      <c r="D51" s="45"/>
      <c r="E51" s="45"/>
      <c r="F51" s="45"/>
      <c r="G51" s="45"/>
      <c r="H51" s="45"/>
      <c r="I51" s="46"/>
      <c r="K51" s="139"/>
      <c r="L51" s="137"/>
      <c r="M51" s="137"/>
      <c r="N51" s="137"/>
      <c r="O51" s="137"/>
      <c r="P51" s="137"/>
      <c r="Q51" s="137"/>
      <c r="R51" s="137"/>
      <c r="S51" s="137"/>
      <c r="T51" s="140"/>
    </row>
    <row r="52" spans="1:21">
      <c r="A52" s="2"/>
      <c r="U52" s="21"/>
    </row>
    <row r="53" spans="1:21" ht="16.5" thickBot="1">
      <c r="A53" s="2"/>
      <c r="U53" s="21"/>
    </row>
    <row r="54" spans="1:21" ht="27" thickBot="1">
      <c r="A54" s="2"/>
      <c r="B54" s="79" t="s">
        <v>111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1"/>
      <c r="U54" s="21"/>
    </row>
    <row r="55" spans="1:21" ht="16.5" thickBot="1">
      <c r="A55" s="2"/>
      <c r="B55" s="33"/>
      <c r="C55" s="34"/>
      <c r="D55" s="34"/>
      <c r="E55" s="34"/>
      <c r="F55" s="34"/>
      <c r="G55" s="34"/>
      <c r="H55" s="34"/>
      <c r="I55" s="34"/>
      <c r="J55" s="34"/>
      <c r="L55" s="34"/>
      <c r="M55" s="34"/>
      <c r="N55" s="34"/>
      <c r="O55" s="34"/>
      <c r="P55" s="34"/>
      <c r="Q55" s="34"/>
      <c r="R55" s="34"/>
      <c r="S55" s="34"/>
      <c r="T55" s="35"/>
      <c r="U55" s="21"/>
    </row>
    <row r="56" spans="1:21" ht="21.75" thickBot="1">
      <c r="A56" s="2"/>
      <c r="B56" s="1"/>
      <c r="C56" s="83" t="s">
        <v>44</v>
      </c>
      <c r="D56" s="84"/>
      <c r="E56" s="84"/>
      <c r="F56" s="84"/>
      <c r="G56" s="84"/>
      <c r="H56" s="85"/>
      <c r="I56" s="2"/>
      <c r="J56" s="2"/>
      <c r="L56" s="83" t="s">
        <v>43</v>
      </c>
      <c r="M56" s="84"/>
      <c r="N56" s="84"/>
      <c r="O56" s="84"/>
      <c r="P56" s="84"/>
      <c r="Q56" s="84"/>
      <c r="R56" s="84"/>
      <c r="S56" s="85"/>
      <c r="T56" s="3"/>
      <c r="U56" s="21"/>
    </row>
    <row r="57" spans="1:21">
      <c r="A57" s="2"/>
      <c r="B57" s="1"/>
      <c r="C57" s="33"/>
      <c r="D57" s="34"/>
      <c r="E57" s="34"/>
      <c r="F57" s="34"/>
      <c r="G57" s="34"/>
      <c r="H57" s="35"/>
      <c r="I57" s="2"/>
      <c r="J57" s="2"/>
      <c r="L57" s="33"/>
      <c r="M57" s="34"/>
      <c r="N57" s="34"/>
      <c r="O57" s="34"/>
      <c r="P57" s="34"/>
      <c r="Q57" s="34"/>
      <c r="R57" s="34"/>
      <c r="S57" s="35"/>
      <c r="T57" s="3"/>
      <c r="U57" s="21"/>
    </row>
    <row r="58" spans="1:21">
      <c r="A58" s="2"/>
      <c r="B58" s="1"/>
      <c r="C58" s="10" t="s">
        <v>45</v>
      </c>
      <c r="D58" s="5"/>
      <c r="E58" s="5"/>
      <c r="F58" s="5"/>
      <c r="G58" s="269"/>
      <c r="H58" s="270">
        <f>G59+G61</f>
        <v>0</v>
      </c>
      <c r="I58" s="2"/>
      <c r="J58" s="2"/>
      <c r="L58" s="176" t="s">
        <v>20</v>
      </c>
      <c r="M58" s="177"/>
      <c r="N58" s="177"/>
      <c r="O58" s="177"/>
      <c r="P58" s="177"/>
      <c r="Q58" s="177"/>
      <c r="R58" s="277"/>
      <c r="S58" s="278"/>
      <c r="T58" s="3"/>
      <c r="U58" s="21"/>
    </row>
    <row r="59" spans="1:21">
      <c r="A59" s="2"/>
      <c r="B59" s="1"/>
      <c r="C59" s="1"/>
      <c r="D59" s="2" t="s">
        <v>46</v>
      </c>
      <c r="E59" s="2"/>
      <c r="F59" s="2"/>
      <c r="G59" s="271">
        <v>0</v>
      </c>
      <c r="H59" s="272"/>
      <c r="I59" s="2"/>
      <c r="J59" s="2"/>
      <c r="L59" s="16" t="s">
        <v>238</v>
      </c>
      <c r="M59" s="2"/>
      <c r="N59" s="2"/>
      <c r="O59" s="2"/>
      <c r="P59" s="2"/>
      <c r="Q59" s="2"/>
      <c r="R59" s="279"/>
      <c r="S59" s="280"/>
      <c r="T59" s="3"/>
      <c r="U59" s="21"/>
    </row>
    <row r="60" spans="1:21">
      <c r="A60" s="2"/>
      <c r="B60" s="1"/>
      <c r="C60" s="1"/>
      <c r="D60" s="2" t="s">
        <v>47</v>
      </c>
      <c r="E60" s="2"/>
      <c r="F60" s="2"/>
      <c r="G60" s="271">
        <v>0</v>
      </c>
      <c r="H60" s="272"/>
      <c r="I60" s="2"/>
      <c r="J60" s="2"/>
      <c r="L60" s="1" t="s">
        <v>21</v>
      </c>
      <c r="M60" s="2"/>
      <c r="N60" s="2"/>
      <c r="O60" s="2"/>
      <c r="P60" s="7"/>
      <c r="Q60" s="36"/>
      <c r="R60" s="271"/>
      <c r="S60" s="272">
        <f>S124</f>
        <v>4991000000</v>
      </c>
      <c r="T60" s="3"/>
      <c r="U60" s="21"/>
    </row>
    <row r="61" spans="1:21">
      <c r="A61" s="2"/>
      <c r="B61" s="1"/>
      <c r="C61" s="1"/>
      <c r="D61" s="2" t="s">
        <v>48</v>
      </c>
      <c r="E61" s="2"/>
      <c r="F61" s="2"/>
      <c r="G61" s="271">
        <f>(G59*0.023)</f>
        <v>0</v>
      </c>
      <c r="H61" s="272"/>
      <c r="I61" s="2"/>
      <c r="J61" s="2"/>
      <c r="L61" s="1" t="s">
        <v>196</v>
      </c>
      <c r="M61" s="2"/>
      <c r="N61" s="2"/>
      <c r="O61" s="2"/>
      <c r="P61" s="7"/>
      <c r="Q61" s="36"/>
      <c r="R61" s="271"/>
      <c r="S61" s="272">
        <v>0</v>
      </c>
      <c r="T61" s="3"/>
      <c r="U61" s="21"/>
    </row>
    <row r="62" spans="1:21">
      <c r="A62" s="2"/>
      <c r="B62" s="1"/>
      <c r="C62" s="10" t="s">
        <v>49</v>
      </c>
      <c r="D62" s="5"/>
      <c r="E62" s="5"/>
      <c r="F62" s="5"/>
      <c r="G62" s="269"/>
      <c r="H62" s="270">
        <f>H58-G60</f>
        <v>0</v>
      </c>
      <c r="I62" s="2"/>
      <c r="J62" s="2"/>
      <c r="L62" s="1" t="s">
        <v>22</v>
      </c>
      <c r="M62" s="2"/>
      <c r="N62" s="2"/>
      <c r="O62" s="2"/>
      <c r="P62" s="7"/>
      <c r="Q62" s="36"/>
      <c r="R62" s="271"/>
      <c r="S62" s="272">
        <v>0</v>
      </c>
      <c r="T62" s="3"/>
      <c r="U62" s="21"/>
    </row>
    <row r="63" spans="1:21">
      <c r="A63" s="2"/>
      <c r="B63" s="1"/>
      <c r="C63" s="1"/>
      <c r="D63" s="2"/>
      <c r="E63" s="2"/>
      <c r="F63" s="2"/>
      <c r="G63" s="271"/>
      <c r="H63" s="272"/>
      <c r="I63" s="2"/>
      <c r="J63" s="2"/>
      <c r="L63" s="1" t="s">
        <v>23</v>
      </c>
      <c r="M63" s="2"/>
      <c r="N63" s="2"/>
      <c r="O63" s="2"/>
      <c r="P63" s="7"/>
      <c r="Q63" s="36"/>
      <c r="R63" s="271"/>
      <c r="S63" s="272">
        <f>SUM(Q64:Q65)</f>
        <v>0</v>
      </c>
      <c r="T63" s="3"/>
      <c r="U63" s="21"/>
    </row>
    <row r="64" spans="1:21">
      <c r="A64" s="2"/>
      <c r="B64" s="1"/>
      <c r="C64" s="74" t="s">
        <v>50</v>
      </c>
      <c r="D64" s="69"/>
      <c r="E64" s="69"/>
      <c r="F64" s="69"/>
      <c r="G64" s="273"/>
      <c r="H64" s="266">
        <f>SUM(G65:G68)</f>
        <v>0</v>
      </c>
      <c r="I64" s="2"/>
      <c r="J64" s="2"/>
      <c r="L64" s="1"/>
      <c r="M64" s="2" t="s">
        <v>24</v>
      </c>
      <c r="N64" s="2"/>
      <c r="O64" s="2"/>
      <c r="P64" s="7"/>
      <c r="Q64" s="271">
        <v>0</v>
      </c>
      <c r="R64" s="271"/>
      <c r="S64" s="272"/>
      <c r="T64" s="3"/>
      <c r="U64" s="21"/>
    </row>
    <row r="65" spans="1:21">
      <c r="A65" s="2"/>
      <c r="B65" s="1"/>
      <c r="C65" s="1"/>
      <c r="D65" s="2" t="s">
        <v>209</v>
      </c>
      <c r="E65" s="2"/>
      <c r="F65" s="2"/>
      <c r="G65" s="271">
        <v>0</v>
      </c>
      <c r="H65" s="272"/>
      <c r="I65" s="2"/>
      <c r="J65" s="2"/>
      <c r="L65" s="1"/>
      <c r="M65" s="2" t="s">
        <v>25</v>
      </c>
      <c r="N65" s="2"/>
      <c r="O65" s="2"/>
      <c r="P65" s="7"/>
      <c r="Q65" s="271">
        <v>0</v>
      </c>
      <c r="R65" s="271"/>
      <c r="S65" s="272"/>
      <c r="T65" s="3"/>
      <c r="U65" s="21"/>
    </row>
    <row r="66" spans="1:21">
      <c r="A66" s="2"/>
      <c r="B66" s="1"/>
      <c r="C66" s="1"/>
      <c r="D66" s="2" t="s">
        <v>52</v>
      </c>
      <c r="E66" s="2"/>
      <c r="F66" s="2"/>
      <c r="G66" s="271">
        <f>G60*0.6</f>
        <v>0</v>
      </c>
      <c r="H66" s="272"/>
      <c r="I66" s="2"/>
      <c r="J66" s="2"/>
      <c r="L66" s="68" t="s">
        <v>239</v>
      </c>
      <c r="M66" s="69"/>
      <c r="N66" s="69"/>
      <c r="O66" s="69"/>
      <c r="P66" s="70"/>
      <c r="Q66" s="273"/>
      <c r="R66" s="273"/>
      <c r="S66" s="266">
        <f>SUM(S60:S63)</f>
        <v>4991000000</v>
      </c>
      <c r="T66" s="3"/>
      <c r="U66" s="21"/>
    </row>
    <row r="67" spans="1:21">
      <c r="A67" s="2"/>
      <c r="B67" s="1"/>
      <c r="C67" s="1"/>
      <c r="D67" s="2" t="s">
        <v>53</v>
      </c>
      <c r="E67" s="2"/>
      <c r="F67" s="2"/>
      <c r="G67" s="274">
        <v>0</v>
      </c>
      <c r="H67" s="272"/>
      <c r="I67" s="2"/>
      <c r="J67" s="2"/>
      <c r="L67" s="16" t="s">
        <v>241</v>
      </c>
      <c r="M67" s="2"/>
      <c r="N67" s="2"/>
      <c r="O67" s="2"/>
      <c r="P67" s="7"/>
      <c r="Q67" s="271"/>
      <c r="R67" s="271"/>
      <c r="S67" s="272"/>
      <c r="T67" s="3"/>
      <c r="U67" s="21"/>
    </row>
    <row r="68" spans="1:21">
      <c r="A68" s="2"/>
      <c r="B68" s="1"/>
      <c r="C68" s="1"/>
      <c r="D68" s="2" t="s">
        <v>54</v>
      </c>
      <c r="E68" s="2"/>
      <c r="F68" s="2"/>
      <c r="G68" s="274">
        <v>0</v>
      </c>
      <c r="H68" s="272"/>
      <c r="I68" s="2"/>
      <c r="J68" s="2"/>
      <c r="L68" s="1" t="s">
        <v>26</v>
      </c>
      <c r="M68" s="2"/>
      <c r="N68" s="2"/>
      <c r="O68" s="2"/>
      <c r="P68" s="7"/>
      <c r="Q68" s="271"/>
      <c r="R68" s="271"/>
      <c r="S68" s="272">
        <v>0</v>
      </c>
      <c r="T68" s="3"/>
      <c r="U68" s="21"/>
    </row>
    <row r="69" spans="1:21">
      <c r="A69" s="2"/>
      <c r="B69" s="1"/>
      <c r="C69" s="10" t="s">
        <v>56</v>
      </c>
      <c r="D69" s="5"/>
      <c r="E69" s="5"/>
      <c r="F69" s="5"/>
      <c r="G69" s="269"/>
      <c r="H69" s="270">
        <f>H62-H64</f>
        <v>0</v>
      </c>
      <c r="I69" s="2"/>
      <c r="J69" s="2"/>
      <c r="L69" s="1" t="s">
        <v>27</v>
      </c>
      <c r="M69" s="2"/>
      <c r="N69" s="2"/>
      <c r="O69" s="2"/>
      <c r="P69" s="7"/>
      <c r="Q69" s="271"/>
      <c r="R69" s="271"/>
      <c r="S69" s="272">
        <v>0</v>
      </c>
      <c r="T69" s="3"/>
      <c r="U69" s="21"/>
    </row>
    <row r="70" spans="1:21">
      <c r="A70" s="2"/>
      <c r="B70" s="1"/>
      <c r="C70" s="1"/>
      <c r="D70" s="2"/>
      <c r="E70" s="2"/>
      <c r="F70" s="2"/>
      <c r="G70" s="271"/>
      <c r="H70" s="272"/>
      <c r="I70" s="2"/>
      <c r="J70" s="2"/>
      <c r="L70" s="1" t="s">
        <v>28</v>
      </c>
      <c r="M70" s="2"/>
      <c r="N70" s="2"/>
      <c r="O70" s="2"/>
      <c r="P70" s="7"/>
      <c r="Q70" s="271"/>
      <c r="R70" s="271"/>
      <c r="S70" s="272">
        <f>SUM(H43:H45)</f>
        <v>0</v>
      </c>
      <c r="T70" s="3"/>
      <c r="U70" s="21"/>
    </row>
    <row r="71" spans="1:21">
      <c r="A71" s="2"/>
      <c r="B71" s="1"/>
      <c r="C71" s="74" t="s">
        <v>29</v>
      </c>
      <c r="D71" s="69"/>
      <c r="E71" s="69"/>
      <c r="F71" s="69"/>
      <c r="G71" s="273"/>
      <c r="H71" s="266">
        <f>SUM(G72:G74)</f>
        <v>0</v>
      </c>
      <c r="I71" s="2"/>
      <c r="J71" s="2"/>
      <c r="L71" s="1" t="s">
        <v>29</v>
      </c>
      <c r="M71" s="2"/>
      <c r="N71" s="2"/>
      <c r="O71" s="2"/>
      <c r="P71" s="7"/>
      <c r="Q71" s="271"/>
      <c r="R71" s="271"/>
      <c r="S71" s="272">
        <f>-SUM(Q72:Q74)</f>
        <v>0</v>
      </c>
      <c r="T71" s="3"/>
      <c r="U71" s="21"/>
    </row>
    <row r="72" spans="1:21">
      <c r="A72" s="2"/>
      <c r="B72" s="1"/>
      <c r="C72" s="1"/>
      <c r="D72" s="2" t="s">
        <v>26</v>
      </c>
      <c r="E72" s="2"/>
      <c r="F72" s="2"/>
      <c r="G72" s="271">
        <v>0</v>
      </c>
      <c r="H72" s="272"/>
      <c r="I72" s="2"/>
      <c r="J72" s="2"/>
      <c r="L72" s="1"/>
      <c r="M72" s="2" t="s">
        <v>26</v>
      </c>
      <c r="N72" s="2"/>
      <c r="O72" s="2"/>
      <c r="P72" s="7"/>
      <c r="Q72" s="271">
        <v>0</v>
      </c>
      <c r="R72" s="271"/>
      <c r="S72" s="272"/>
      <c r="T72" s="3"/>
      <c r="U72" s="21"/>
    </row>
    <row r="73" spans="1:21">
      <c r="A73" s="2"/>
      <c r="B73" s="1"/>
      <c r="C73" s="1"/>
      <c r="D73" s="2" t="s">
        <v>27</v>
      </c>
      <c r="E73" s="2"/>
      <c r="F73" s="2"/>
      <c r="G73" s="271">
        <v>0</v>
      </c>
      <c r="H73" s="272"/>
      <c r="I73" s="2"/>
      <c r="J73" s="2"/>
      <c r="L73" s="1"/>
      <c r="M73" s="2" t="s">
        <v>27</v>
      </c>
      <c r="N73" s="2"/>
      <c r="O73" s="2"/>
      <c r="P73" s="7"/>
      <c r="Q73" s="271">
        <v>0</v>
      </c>
      <c r="R73" s="271"/>
      <c r="S73" s="272"/>
      <c r="T73" s="3"/>
      <c r="U73" s="21"/>
    </row>
    <row r="74" spans="1:21">
      <c r="A74" s="2"/>
      <c r="B74" s="1"/>
      <c r="C74" s="1"/>
      <c r="D74" s="2" t="s">
        <v>28</v>
      </c>
      <c r="E74" s="2"/>
      <c r="F74" s="2"/>
      <c r="G74" s="271">
        <v>0</v>
      </c>
      <c r="H74" s="272"/>
      <c r="I74" s="2"/>
      <c r="J74" s="2"/>
      <c r="L74" s="1"/>
      <c r="M74" s="2" t="s">
        <v>28</v>
      </c>
      <c r="N74" s="2"/>
      <c r="O74" s="2"/>
      <c r="P74" s="7"/>
      <c r="Q74" s="271">
        <v>0</v>
      </c>
      <c r="R74" s="271"/>
      <c r="S74" s="272"/>
      <c r="T74" s="3"/>
      <c r="U74" s="21"/>
    </row>
    <row r="75" spans="1:21">
      <c r="A75" s="2"/>
      <c r="B75" s="1"/>
      <c r="C75" s="74" t="s">
        <v>55</v>
      </c>
      <c r="D75" s="69"/>
      <c r="E75" s="69"/>
      <c r="F75" s="69"/>
      <c r="G75" s="273"/>
      <c r="H75" s="266">
        <f>SUM(G76:G83)</f>
        <v>9000000</v>
      </c>
      <c r="I75" s="2"/>
      <c r="J75" s="2"/>
      <c r="L75" s="1" t="s">
        <v>30</v>
      </c>
      <c r="M75" s="2"/>
      <c r="N75" s="2"/>
      <c r="O75" s="2"/>
      <c r="P75" s="7"/>
      <c r="Q75" s="271"/>
      <c r="R75" s="271"/>
      <c r="S75" s="272">
        <f>IF(G99&gt;0,G99)</f>
        <v>2700000</v>
      </c>
      <c r="T75" s="3"/>
      <c r="U75" s="21"/>
    </row>
    <row r="76" spans="1:21">
      <c r="A76" s="2"/>
      <c r="B76" s="1"/>
      <c r="C76" s="1"/>
      <c r="D76" s="2" t="s">
        <v>57</v>
      </c>
      <c r="E76" s="2"/>
      <c r="F76" s="2"/>
      <c r="G76" s="274">
        <v>9000000</v>
      </c>
      <c r="H76" s="272"/>
      <c r="I76" s="2"/>
      <c r="J76" s="2"/>
      <c r="L76" s="68" t="s">
        <v>240</v>
      </c>
      <c r="M76" s="69"/>
      <c r="N76" s="69"/>
      <c r="O76" s="69"/>
      <c r="P76" s="70"/>
      <c r="Q76" s="75"/>
      <c r="R76" s="273"/>
      <c r="S76" s="266">
        <f>SUM(S68:S75)</f>
        <v>2700000</v>
      </c>
      <c r="T76" s="3"/>
      <c r="U76" s="21"/>
    </row>
    <row r="77" spans="1:21">
      <c r="A77" s="2"/>
      <c r="B77" s="1"/>
      <c r="C77" s="1"/>
      <c r="D77" s="2" t="s">
        <v>58</v>
      </c>
      <c r="E77" s="2"/>
      <c r="F77" s="2"/>
      <c r="G77" s="274">
        <v>0</v>
      </c>
      <c r="H77" s="272"/>
      <c r="I77" s="2"/>
      <c r="J77" s="2"/>
      <c r="L77" s="71" t="s">
        <v>31</v>
      </c>
      <c r="M77" s="72"/>
      <c r="N77" s="72"/>
      <c r="O77" s="72"/>
      <c r="P77" s="73"/>
      <c r="Q77" s="76"/>
      <c r="R77" s="281"/>
      <c r="S77" s="282">
        <f>S66+S76</f>
        <v>4993700000</v>
      </c>
      <c r="T77" s="3"/>
      <c r="U77" s="21"/>
    </row>
    <row r="78" spans="1:21">
      <c r="A78" s="2"/>
      <c r="B78" s="1"/>
      <c r="C78" s="1"/>
      <c r="D78" s="2" t="s">
        <v>212</v>
      </c>
      <c r="E78" s="2"/>
      <c r="F78" s="2"/>
      <c r="G78" s="274">
        <v>0</v>
      </c>
      <c r="H78" s="272"/>
      <c r="I78" s="2"/>
      <c r="J78" s="2"/>
      <c r="L78" s="1"/>
      <c r="M78" s="2"/>
      <c r="N78" s="2"/>
      <c r="O78" s="2"/>
      <c r="P78" s="7"/>
      <c r="Q78" s="36"/>
      <c r="R78" s="271"/>
      <c r="S78" s="272"/>
      <c r="T78" s="3"/>
      <c r="U78" s="21"/>
    </row>
    <row r="79" spans="1:21">
      <c r="A79" s="2"/>
      <c r="B79" s="1"/>
      <c r="C79" s="1"/>
      <c r="D79" s="2" t="s">
        <v>213</v>
      </c>
      <c r="E79" s="2"/>
      <c r="F79" s="2"/>
      <c r="G79" s="274">
        <v>0</v>
      </c>
      <c r="H79" s="272"/>
      <c r="I79" s="2"/>
      <c r="J79" s="2"/>
      <c r="L79" s="176" t="s">
        <v>32</v>
      </c>
      <c r="M79" s="177"/>
      <c r="N79" s="177"/>
      <c r="O79" s="177"/>
      <c r="P79" s="179"/>
      <c r="Q79" s="181"/>
      <c r="R79" s="283"/>
      <c r="S79" s="268"/>
      <c r="T79" s="3"/>
      <c r="U79" s="21"/>
    </row>
    <row r="80" spans="1:21">
      <c r="A80" s="2"/>
      <c r="B80" s="1"/>
      <c r="C80" s="1"/>
      <c r="D80" s="2" t="s">
        <v>215</v>
      </c>
      <c r="E80" s="2"/>
      <c r="F80" s="2"/>
      <c r="G80" s="274">
        <v>0</v>
      </c>
      <c r="H80" s="272"/>
      <c r="I80" s="2"/>
      <c r="J80" s="2"/>
      <c r="L80" s="16" t="s">
        <v>246</v>
      </c>
      <c r="M80" s="2"/>
      <c r="N80" s="2"/>
      <c r="O80" s="2"/>
      <c r="P80" s="7"/>
      <c r="Q80" s="36"/>
      <c r="R80" s="271"/>
      <c r="S80" s="272"/>
      <c r="T80" s="3"/>
      <c r="U80" s="21"/>
    </row>
    <row r="81" spans="1:21">
      <c r="A81" s="2"/>
      <c r="B81" s="1"/>
      <c r="C81" s="1"/>
      <c r="D81" s="2" t="s">
        <v>214</v>
      </c>
      <c r="E81" s="2"/>
      <c r="F81" s="2"/>
      <c r="G81" s="274">
        <v>0</v>
      </c>
      <c r="H81" s="272"/>
      <c r="I81" s="2"/>
      <c r="J81" s="2"/>
      <c r="L81" s="1" t="s">
        <v>33</v>
      </c>
      <c r="M81" s="2"/>
      <c r="N81" s="2"/>
      <c r="O81" s="2"/>
      <c r="P81" s="7"/>
      <c r="Q81" s="36"/>
      <c r="R81" s="271"/>
      <c r="S81" s="272">
        <v>0</v>
      </c>
      <c r="T81" s="3"/>
      <c r="U81" s="21"/>
    </row>
    <row r="82" spans="1:21">
      <c r="A82" s="2"/>
      <c r="B82" s="1"/>
      <c r="C82" s="1"/>
      <c r="D82" s="2" t="s">
        <v>259</v>
      </c>
      <c r="E82" s="2"/>
      <c r="F82" s="2"/>
      <c r="G82" s="274">
        <v>0</v>
      </c>
      <c r="H82" s="272"/>
      <c r="I82" s="2"/>
      <c r="J82" s="2"/>
      <c r="L82" s="1" t="s">
        <v>42</v>
      </c>
      <c r="M82" s="2"/>
      <c r="N82" s="2"/>
      <c r="O82" s="2"/>
      <c r="P82" s="7"/>
      <c r="Q82" s="36"/>
      <c r="R82" s="271"/>
      <c r="S82" s="272">
        <v>0</v>
      </c>
      <c r="T82" s="3"/>
      <c r="U82" s="21"/>
    </row>
    <row r="83" spans="1:21">
      <c r="A83" s="2"/>
      <c r="B83" s="1"/>
      <c r="C83" s="1"/>
      <c r="D83" s="2" t="s">
        <v>245</v>
      </c>
      <c r="E83" s="2"/>
      <c r="F83" s="2"/>
      <c r="G83" s="274">
        <v>0</v>
      </c>
      <c r="H83" s="272"/>
      <c r="I83" s="2"/>
      <c r="J83" s="2"/>
      <c r="L83" s="1" t="s">
        <v>34</v>
      </c>
      <c r="M83" s="2"/>
      <c r="N83" s="2"/>
      <c r="O83" s="2"/>
      <c r="P83" s="7"/>
      <c r="Q83" s="36"/>
      <c r="R83" s="271"/>
      <c r="S83" s="272">
        <v>0</v>
      </c>
      <c r="T83" s="3"/>
      <c r="U83" s="21"/>
    </row>
    <row r="84" spans="1:21">
      <c r="A84" s="2"/>
      <c r="B84" s="1"/>
      <c r="C84" s="10" t="s">
        <v>62</v>
      </c>
      <c r="D84" s="5"/>
      <c r="E84" s="5"/>
      <c r="F84" s="5"/>
      <c r="G84" s="269"/>
      <c r="H84" s="270">
        <f>H69-H71-H75</f>
        <v>-9000000</v>
      </c>
      <c r="I84" s="2"/>
      <c r="J84" s="2"/>
      <c r="L84" s="1" t="s">
        <v>35</v>
      </c>
      <c r="M84" s="2"/>
      <c r="N84" s="2"/>
      <c r="O84" s="2"/>
      <c r="P84" s="7"/>
      <c r="Q84" s="36"/>
      <c r="R84" s="271"/>
      <c r="S84" s="272">
        <f>IF(G109&lt;0,G109,0)</f>
        <v>0</v>
      </c>
      <c r="T84" s="3"/>
      <c r="U84" s="21"/>
    </row>
    <row r="85" spans="1:21">
      <c r="A85" s="2"/>
      <c r="B85" s="1"/>
      <c r="C85" s="1"/>
      <c r="D85" s="2"/>
      <c r="E85" s="2"/>
      <c r="F85" s="2"/>
      <c r="G85" s="271"/>
      <c r="H85" s="272"/>
      <c r="I85" s="2"/>
      <c r="J85" s="2"/>
      <c r="L85" s="68" t="s">
        <v>242</v>
      </c>
      <c r="M85" s="69"/>
      <c r="N85" s="69"/>
      <c r="O85" s="69"/>
      <c r="P85" s="70"/>
      <c r="Q85" s="75"/>
      <c r="R85" s="273"/>
      <c r="S85" s="266">
        <f>SUM(S81:S84)</f>
        <v>0</v>
      </c>
      <c r="T85" s="3"/>
      <c r="U85" s="21"/>
    </row>
    <row r="86" spans="1:21">
      <c r="A86" s="2"/>
      <c r="B86" s="1"/>
      <c r="C86" s="74" t="s">
        <v>63</v>
      </c>
      <c r="D86" s="69"/>
      <c r="E86" s="69"/>
      <c r="F86" s="69"/>
      <c r="G86" s="273"/>
      <c r="H86" s="266">
        <f>G87+G88+G89-G90-G91-G92-G93-G94</f>
        <v>0</v>
      </c>
      <c r="I86" s="2"/>
      <c r="J86" s="2"/>
      <c r="L86" s="16" t="s">
        <v>247</v>
      </c>
      <c r="M86" s="2"/>
      <c r="N86" s="2"/>
      <c r="O86" s="2"/>
      <c r="P86" s="7"/>
      <c r="Q86" s="36"/>
      <c r="R86" s="271"/>
      <c r="S86" s="272"/>
      <c r="T86" s="3"/>
      <c r="U86" s="21"/>
    </row>
    <row r="87" spans="1:21">
      <c r="A87" s="2"/>
      <c r="B87" s="1"/>
      <c r="C87" s="1"/>
      <c r="D87" s="2" t="s">
        <v>64</v>
      </c>
      <c r="E87" s="2"/>
      <c r="F87" s="2"/>
      <c r="G87" s="274">
        <v>0</v>
      </c>
      <c r="H87" s="272"/>
      <c r="I87" s="2"/>
      <c r="J87" s="2"/>
      <c r="L87" s="1" t="s">
        <v>36</v>
      </c>
      <c r="M87" s="2"/>
      <c r="N87" s="2"/>
      <c r="O87" s="2"/>
      <c r="P87" s="7"/>
      <c r="Q87" s="36"/>
      <c r="R87" s="271"/>
      <c r="S87" s="272">
        <v>0</v>
      </c>
      <c r="T87" s="3"/>
      <c r="U87" s="21"/>
    </row>
    <row r="88" spans="1:21">
      <c r="A88" s="2"/>
      <c r="B88" s="1"/>
      <c r="C88" s="1"/>
      <c r="D88" s="2" t="s">
        <v>65</v>
      </c>
      <c r="E88" s="2"/>
      <c r="F88" s="2"/>
      <c r="G88" s="274">
        <v>0</v>
      </c>
      <c r="H88" s="272"/>
      <c r="I88" s="2"/>
      <c r="J88" s="2"/>
      <c r="L88" s="68" t="s">
        <v>243</v>
      </c>
      <c r="M88" s="69"/>
      <c r="N88" s="69"/>
      <c r="O88" s="69"/>
      <c r="P88" s="70"/>
      <c r="Q88" s="75"/>
      <c r="R88" s="273"/>
      <c r="S88" s="266">
        <f>SUM(S87)</f>
        <v>0</v>
      </c>
      <c r="T88" s="3"/>
      <c r="U88" s="21"/>
    </row>
    <row r="89" spans="1:21">
      <c r="A89" s="2"/>
      <c r="B89" s="1"/>
      <c r="C89" s="1"/>
      <c r="D89" s="2" t="s">
        <v>66</v>
      </c>
      <c r="E89" s="2"/>
      <c r="F89" s="2"/>
      <c r="G89" s="274">
        <v>0</v>
      </c>
      <c r="H89" s="272"/>
      <c r="I89" s="2"/>
      <c r="J89" s="2"/>
      <c r="L89" s="71" t="s">
        <v>37</v>
      </c>
      <c r="M89" s="72"/>
      <c r="N89" s="72"/>
      <c r="O89" s="72"/>
      <c r="P89" s="73"/>
      <c r="Q89" s="76"/>
      <c r="R89" s="281"/>
      <c r="S89" s="282">
        <f>S85+S88</f>
        <v>0</v>
      </c>
      <c r="T89" s="3"/>
      <c r="U89" s="21"/>
    </row>
    <row r="90" spans="1:21">
      <c r="A90" s="2"/>
      <c r="B90" s="1"/>
      <c r="C90" s="1"/>
      <c r="D90" s="2" t="s">
        <v>67</v>
      </c>
      <c r="E90" s="2"/>
      <c r="F90" s="2"/>
      <c r="G90" s="274">
        <v>0</v>
      </c>
      <c r="H90" s="272"/>
      <c r="I90" s="2"/>
      <c r="J90" s="2"/>
      <c r="L90" s="1"/>
      <c r="M90" s="2"/>
      <c r="N90" s="2"/>
      <c r="O90" s="2"/>
      <c r="P90" s="7"/>
      <c r="Q90" s="36"/>
      <c r="R90" s="271"/>
      <c r="S90" s="272"/>
      <c r="T90" s="3"/>
      <c r="U90" s="21"/>
    </row>
    <row r="91" spans="1:21">
      <c r="A91" s="2"/>
      <c r="B91" s="1"/>
      <c r="C91" s="1"/>
      <c r="D91" s="2" t="s">
        <v>260</v>
      </c>
      <c r="G91" s="274">
        <v>0</v>
      </c>
      <c r="H91" s="272"/>
      <c r="I91" s="2"/>
      <c r="J91" s="2"/>
      <c r="L91" s="176" t="s">
        <v>38</v>
      </c>
      <c r="M91" s="177"/>
      <c r="N91" s="177"/>
      <c r="O91" s="177"/>
      <c r="P91" s="179"/>
      <c r="Q91" s="181"/>
      <c r="R91" s="283"/>
      <c r="S91" s="268"/>
      <c r="T91" s="3"/>
      <c r="U91" s="21"/>
    </row>
    <row r="92" spans="1:21">
      <c r="A92" s="2"/>
      <c r="B92" s="1"/>
      <c r="C92" s="1"/>
      <c r="D92" s="2" t="s">
        <v>68</v>
      </c>
      <c r="E92" s="2"/>
      <c r="F92" s="2"/>
      <c r="G92" s="274">
        <v>0</v>
      </c>
      <c r="H92" s="272"/>
      <c r="I92" s="2"/>
      <c r="J92" s="2"/>
      <c r="L92" s="1" t="s">
        <v>39</v>
      </c>
      <c r="M92" s="2"/>
      <c r="N92" s="2"/>
      <c r="O92" s="2"/>
      <c r="P92" s="7"/>
      <c r="Q92" s="36"/>
      <c r="R92" s="271"/>
      <c r="S92" s="272">
        <v>5000000000</v>
      </c>
      <c r="T92" s="3"/>
      <c r="U92" s="21"/>
    </row>
    <row r="93" spans="1:21">
      <c r="A93" s="2"/>
      <c r="B93" s="1"/>
      <c r="C93" s="1"/>
      <c r="D93" s="2" t="s">
        <v>69</v>
      </c>
      <c r="E93" s="2"/>
      <c r="F93" s="2"/>
      <c r="G93" s="274">
        <v>0</v>
      </c>
      <c r="H93" s="272"/>
      <c r="I93" s="2"/>
      <c r="J93" s="2"/>
      <c r="L93" s="1" t="s">
        <v>40</v>
      </c>
      <c r="M93" s="2"/>
      <c r="N93" s="2"/>
      <c r="O93" s="2"/>
      <c r="P93" s="7"/>
      <c r="Q93" s="36"/>
      <c r="R93" s="271"/>
      <c r="S93" s="272">
        <v>0</v>
      </c>
      <c r="T93" s="3"/>
      <c r="U93" s="21"/>
    </row>
    <row r="94" spans="1:21">
      <c r="A94" s="2"/>
      <c r="B94" s="1"/>
      <c r="C94" s="1"/>
      <c r="D94" s="2" t="s">
        <v>70</v>
      </c>
      <c r="E94" s="2"/>
      <c r="F94" s="2"/>
      <c r="G94" s="274">
        <v>0</v>
      </c>
      <c r="H94" s="272"/>
      <c r="I94" s="2"/>
      <c r="J94" s="2"/>
      <c r="L94" s="1" t="s">
        <v>262</v>
      </c>
      <c r="M94" s="2"/>
      <c r="N94" s="2"/>
      <c r="O94" s="2"/>
      <c r="P94" s="7"/>
      <c r="Q94" s="36"/>
      <c r="R94" s="271"/>
      <c r="S94" s="272">
        <f>H100</f>
        <v>-6300000</v>
      </c>
      <c r="T94" s="3"/>
      <c r="U94" s="21"/>
    </row>
    <row r="95" spans="1:21">
      <c r="A95" s="2"/>
      <c r="B95" s="1"/>
      <c r="C95" s="74" t="s">
        <v>71</v>
      </c>
      <c r="D95" s="69"/>
      <c r="E95" s="69"/>
      <c r="F95" s="69"/>
      <c r="G95" s="273"/>
      <c r="H95" s="266">
        <f>G96-G97</f>
        <v>0</v>
      </c>
      <c r="I95" s="2"/>
      <c r="J95" s="2"/>
      <c r="L95" s="71" t="s">
        <v>41</v>
      </c>
      <c r="M95" s="72"/>
      <c r="N95" s="72"/>
      <c r="O95" s="72"/>
      <c r="P95" s="73"/>
      <c r="Q95" s="76"/>
      <c r="R95" s="281"/>
      <c r="S95" s="282">
        <f>SUM(S92:S94)</f>
        <v>4993700000</v>
      </c>
      <c r="T95" s="3"/>
      <c r="U95" s="21"/>
    </row>
    <row r="96" spans="1:21" ht="16.5" thickBot="1">
      <c r="A96" s="2"/>
      <c r="B96" s="1"/>
      <c r="C96" s="1"/>
      <c r="D96" s="2" t="s">
        <v>72</v>
      </c>
      <c r="E96" s="2"/>
      <c r="F96" s="2"/>
      <c r="G96" s="274">
        <v>0</v>
      </c>
      <c r="H96" s="272"/>
      <c r="I96" s="2"/>
      <c r="J96" s="2"/>
      <c r="L96" s="8"/>
      <c r="M96" s="9"/>
      <c r="N96" s="9"/>
      <c r="O96" s="9"/>
      <c r="P96" s="9"/>
      <c r="Q96" s="9"/>
      <c r="R96" s="284"/>
      <c r="S96" s="285"/>
      <c r="T96" s="3"/>
      <c r="U96" s="21"/>
    </row>
    <row r="97" spans="1:29">
      <c r="A97" s="2"/>
      <c r="B97" s="1"/>
      <c r="C97" s="1"/>
      <c r="D97" s="2" t="s">
        <v>73</v>
      </c>
      <c r="E97" s="2"/>
      <c r="F97" s="2"/>
      <c r="G97" s="274">
        <v>0</v>
      </c>
      <c r="H97" s="272"/>
      <c r="I97" s="2"/>
      <c r="J97" s="2"/>
      <c r="R97" s="286"/>
      <c r="S97" s="286"/>
      <c r="T97" s="3"/>
      <c r="U97" s="21"/>
    </row>
    <row r="98" spans="1:29" ht="16.5" thickBot="1">
      <c r="A98" s="2"/>
      <c r="B98" s="1"/>
      <c r="C98" s="10" t="s">
        <v>75</v>
      </c>
      <c r="D98" s="5"/>
      <c r="E98" s="5"/>
      <c r="F98" s="5"/>
      <c r="G98" s="269"/>
      <c r="H98" s="270">
        <f>H84+H86+H95</f>
        <v>-9000000</v>
      </c>
      <c r="I98" s="2"/>
      <c r="J98" s="2"/>
      <c r="R98" s="286"/>
      <c r="S98" s="286"/>
      <c r="T98" s="3"/>
      <c r="U98" s="21"/>
    </row>
    <row r="99" spans="1:29" ht="21.75" thickBot="1">
      <c r="A99" s="2"/>
      <c r="B99" s="1"/>
      <c r="C99" s="1" t="s">
        <v>74</v>
      </c>
      <c r="D99" s="2"/>
      <c r="E99" s="2"/>
      <c r="F99" s="2"/>
      <c r="G99" s="271">
        <f>-H98*0.3</f>
        <v>2700000</v>
      </c>
      <c r="H99" s="272"/>
      <c r="I99" s="2"/>
      <c r="J99" s="2"/>
      <c r="L99" s="117" t="s">
        <v>77</v>
      </c>
      <c r="M99" s="118"/>
      <c r="N99" s="118"/>
      <c r="O99" s="118"/>
      <c r="P99" s="118"/>
      <c r="Q99" s="118"/>
      <c r="R99" s="287"/>
      <c r="S99" s="288"/>
      <c r="T99" s="3"/>
      <c r="U99" s="21"/>
    </row>
    <row r="100" spans="1:29" ht="16.5" thickBot="1">
      <c r="A100" s="2"/>
      <c r="B100" s="1"/>
      <c r="C100" s="11" t="s">
        <v>76</v>
      </c>
      <c r="D100" s="12"/>
      <c r="E100" s="12"/>
      <c r="F100" s="12"/>
      <c r="G100" s="275"/>
      <c r="H100" s="276">
        <f>H98+G99</f>
        <v>-6300000</v>
      </c>
      <c r="I100" s="2"/>
      <c r="J100" s="2"/>
      <c r="L100" s="33"/>
      <c r="M100" s="34"/>
      <c r="N100" s="34"/>
      <c r="O100" s="34"/>
      <c r="P100" s="34"/>
      <c r="Q100" s="34"/>
      <c r="R100" s="289"/>
      <c r="S100" s="290"/>
      <c r="T100" s="3"/>
      <c r="U100" s="21"/>
    </row>
    <row r="101" spans="1:29">
      <c r="A101" s="2"/>
      <c r="B101" s="1"/>
      <c r="I101" s="2"/>
      <c r="J101" s="2"/>
      <c r="L101" s="1"/>
      <c r="M101" s="2"/>
      <c r="N101" s="2"/>
      <c r="O101" s="2"/>
      <c r="P101" s="2"/>
      <c r="Q101" s="2"/>
      <c r="R101" s="279"/>
      <c r="S101" s="291" t="s">
        <v>91</v>
      </c>
      <c r="T101" s="3"/>
      <c r="U101" s="21"/>
    </row>
    <row r="102" spans="1:29">
      <c r="A102" s="2"/>
      <c r="B102" s="1"/>
      <c r="C102" s="2"/>
      <c r="D102" s="2"/>
      <c r="E102" s="2"/>
      <c r="F102" s="2"/>
      <c r="G102" s="2"/>
      <c r="H102" s="2"/>
      <c r="I102" s="2"/>
      <c r="J102" s="2"/>
      <c r="L102" s="14" t="s">
        <v>78</v>
      </c>
      <c r="M102" s="6"/>
      <c r="N102" s="6"/>
      <c r="O102" s="6"/>
      <c r="P102" s="6"/>
      <c r="Q102" s="6"/>
      <c r="R102" s="292"/>
      <c r="S102" s="293"/>
      <c r="T102" s="3"/>
      <c r="U102" s="21"/>
    </row>
    <row r="103" spans="1:29">
      <c r="A103" s="2"/>
      <c r="B103" s="1"/>
      <c r="C103" s="2"/>
      <c r="D103" s="2"/>
      <c r="E103" s="2"/>
      <c r="F103" s="2"/>
      <c r="G103" s="2"/>
      <c r="H103" s="2"/>
      <c r="I103" s="2"/>
      <c r="J103" s="2"/>
      <c r="L103" s="1" t="s">
        <v>79</v>
      </c>
      <c r="M103" s="2"/>
      <c r="N103" s="2"/>
      <c r="O103" s="2"/>
      <c r="P103" s="2"/>
      <c r="Q103" s="2"/>
      <c r="R103" s="279"/>
      <c r="S103" s="272">
        <v>0</v>
      </c>
      <c r="T103" s="3"/>
      <c r="U103" s="21"/>
    </row>
    <row r="104" spans="1:29">
      <c r="A104" s="2"/>
      <c r="B104" s="1"/>
      <c r="C104" s="2"/>
      <c r="D104" s="2"/>
      <c r="E104" s="2"/>
      <c r="F104" s="2"/>
      <c r="G104" s="2"/>
      <c r="H104" s="2"/>
      <c r="I104" s="2"/>
      <c r="J104" s="2"/>
      <c r="L104" s="1" t="s">
        <v>80</v>
      </c>
      <c r="M104" s="2"/>
      <c r="N104" s="2"/>
      <c r="O104" s="2"/>
      <c r="P104" s="2"/>
      <c r="Q104" s="2"/>
      <c r="R104" s="279"/>
      <c r="S104" s="272">
        <f>-G76</f>
        <v>-9000000</v>
      </c>
      <c r="T104" s="3"/>
      <c r="U104" s="21"/>
    </row>
    <row r="105" spans="1:29">
      <c r="A105" s="2"/>
      <c r="B105" s="20"/>
      <c r="C105" s="2"/>
      <c r="D105" s="2"/>
      <c r="E105" s="2"/>
      <c r="F105" s="2"/>
      <c r="G105" s="2"/>
      <c r="H105" s="2"/>
      <c r="I105" s="2"/>
      <c r="L105" s="1" t="s">
        <v>261</v>
      </c>
      <c r="M105" s="2"/>
      <c r="N105" s="2"/>
      <c r="O105" s="2"/>
      <c r="P105" s="2"/>
      <c r="Q105" s="56"/>
      <c r="R105" s="294"/>
      <c r="S105" s="272">
        <v>0</v>
      </c>
      <c r="T105" s="37"/>
      <c r="AC105" s="2"/>
    </row>
    <row r="106" spans="1:29">
      <c r="A106" s="2"/>
      <c r="B106" s="1"/>
      <c r="C106" s="2"/>
      <c r="D106" s="2"/>
      <c r="E106" s="2"/>
      <c r="F106" s="2"/>
      <c r="G106" s="2"/>
      <c r="H106" s="2"/>
      <c r="I106" s="2"/>
      <c r="J106" s="2"/>
      <c r="L106" s="1" t="s">
        <v>81</v>
      </c>
      <c r="M106" s="2"/>
      <c r="N106" s="2"/>
      <c r="O106" s="2"/>
      <c r="P106" s="2"/>
      <c r="Q106" s="2"/>
      <c r="R106" s="279"/>
      <c r="S106" s="272">
        <v>0</v>
      </c>
      <c r="T106" s="3"/>
      <c r="U106" s="2"/>
    </row>
    <row r="107" spans="1:29">
      <c r="A107" s="2"/>
      <c r="B107" s="1"/>
      <c r="C107" s="2"/>
      <c r="D107" s="2"/>
      <c r="E107" s="2"/>
      <c r="F107" s="2"/>
      <c r="G107" s="2"/>
      <c r="H107" s="2"/>
      <c r="I107" s="2"/>
      <c r="J107" s="2"/>
      <c r="L107" s="1" t="s">
        <v>82</v>
      </c>
      <c r="M107" s="2"/>
      <c r="N107" s="2"/>
      <c r="O107" s="2"/>
      <c r="P107" s="2"/>
      <c r="Q107" s="2"/>
      <c r="R107" s="279"/>
      <c r="S107" s="272">
        <v>0</v>
      </c>
      <c r="T107" s="3"/>
    </row>
    <row r="108" spans="1:29">
      <c r="A108" s="2"/>
      <c r="B108" s="1"/>
      <c r="C108" s="2"/>
      <c r="D108" s="2"/>
      <c r="E108" s="2"/>
      <c r="F108" s="2"/>
      <c r="G108" s="2"/>
      <c r="H108" s="2"/>
      <c r="I108" s="2"/>
      <c r="J108" s="2"/>
      <c r="L108" s="1" t="s">
        <v>83</v>
      </c>
      <c r="M108" s="2"/>
      <c r="N108" s="2"/>
      <c r="O108" s="2"/>
      <c r="P108" s="2"/>
      <c r="Q108" s="2"/>
      <c r="R108" s="279"/>
      <c r="S108" s="272">
        <v>0</v>
      </c>
      <c r="T108" s="3"/>
    </row>
    <row r="109" spans="1:29">
      <c r="A109" s="2"/>
      <c r="B109" s="1"/>
      <c r="C109" s="2"/>
      <c r="D109" s="2"/>
      <c r="E109" s="2"/>
      <c r="F109" s="2"/>
      <c r="G109" s="2"/>
      <c r="H109" s="2"/>
      <c r="I109" s="2"/>
      <c r="J109" s="2"/>
      <c r="L109" s="16" t="s">
        <v>78</v>
      </c>
      <c r="M109" s="2"/>
      <c r="N109" s="2"/>
      <c r="O109" s="2"/>
      <c r="P109" s="2"/>
      <c r="Q109" s="2"/>
      <c r="R109" s="279"/>
      <c r="S109" s="295">
        <f>SUM(S103:S108)</f>
        <v>-9000000</v>
      </c>
      <c r="T109" s="3"/>
    </row>
    <row r="110" spans="1:29">
      <c r="A110" s="2"/>
      <c r="B110" s="1"/>
      <c r="C110" s="2"/>
      <c r="D110" s="2"/>
      <c r="E110" s="2"/>
      <c r="F110" s="2"/>
      <c r="G110" s="2"/>
      <c r="H110" s="2"/>
      <c r="I110" s="2"/>
      <c r="J110" s="2"/>
      <c r="L110" s="14" t="s">
        <v>84</v>
      </c>
      <c r="M110" s="6"/>
      <c r="N110" s="6"/>
      <c r="O110" s="6"/>
      <c r="P110" s="6"/>
      <c r="Q110" s="6"/>
      <c r="R110" s="292"/>
      <c r="S110" s="296"/>
      <c r="T110" s="3"/>
    </row>
    <row r="111" spans="1:29">
      <c r="A111" s="2"/>
      <c r="B111" s="1"/>
      <c r="C111" s="2"/>
      <c r="D111" s="2"/>
      <c r="E111" s="2"/>
      <c r="F111" s="2"/>
      <c r="G111" s="2"/>
      <c r="H111" s="2"/>
      <c r="I111" s="2"/>
      <c r="J111" s="2"/>
      <c r="L111" s="1" t="s">
        <v>22</v>
      </c>
      <c r="M111" s="2"/>
      <c r="N111" s="2"/>
      <c r="O111" s="2"/>
      <c r="P111" s="2"/>
      <c r="Q111" s="2"/>
      <c r="R111" s="279"/>
      <c r="S111" s="272">
        <v>0</v>
      </c>
      <c r="T111" s="3"/>
    </row>
    <row r="112" spans="1:29">
      <c r="A112" s="2"/>
      <c r="B112" s="1"/>
      <c r="C112" s="2"/>
      <c r="D112" s="2"/>
      <c r="E112" s="2"/>
      <c r="F112" s="2"/>
      <c r="G112" s="2"/>
      <c r="H112" s="2"/>
      <c r="I112" s="2"/>
      <c r="J112" s="2"/>
      <c r="L112" s="1" t="s">
        <v>86</v>
      </c>
      <c r="M112" s="2"/>
      <c r="N112" s="2"/>
      <c r="O112" s="2"/>
      <c r="P112" s="2"/>
      <c r="Q112" s="2"/>
      <c r="R112" s="279"/>
      <c r="S112" s="272">
        <v>0</v>
      </c>
      <c r="T112" s="3"/>
    </row>
    <row r="113" spans="1:20">
      <c r="A113" s="2"/>
      <c r="B113" s="1"/>
      <c r="C113" s="2"/>
      <c r="D113" s="2"/>
      <c r="E113" s="2"/>
      <c r="F113" s="2"/>
      <c r="G113" s="2"/>
      <c r="H113" s="2"/>
      <c r="I113" s="2"/>
      <c r="J113" s="2"/>
      <c r="L113" s="1" t="s">
        <v>87</v>
      </c>
      <c r="M113" s="2"/>
      <c r="N113" s="2"/>
      <c r="O113" s="2"/>
      <c r="P113" s="2"/>
      <c r="Q113" s="2"/>
      <c r="R113" s="279"/>
      <c r="S113" s="272">
        <f>-SUM(H43:H45)</f>
        <v>0</v>
      </c>
      <c r="T113" s="3"/>
    </row>
    <row r="114" spans="1:20">
      <c r="A114" s="2"/>
      <c r="B114" s="1"/>
      <c r="C114" s="2"/>
      <c r="D114" s="2"/>
      <c r="E114" s="2"/>
      <c r="F114" s="2"/>
      <c r="G114" s="2"/>
      <c r="H114" s="2"/>
      <c r="I114" s="2"/>
      <c r="J114" s="2"/>
      <c r="L114" s="17" t="s">
        <v>84</v>
      </c>
      <c r="M114" s="2"/>
      <c r="N114" s="2"/>
      <c r="O114" s="2"/>
      <c r="P114" s="2"/>
      <c r="Q114" s="2"/>
      <c r="R114" s="279"/>
      <c r="S114" s="295">
        <f>SUM(S111:S113)</f>
        <v>0</v>
      </c>
      <c r="T114" s="3"/>
    </row>
    <row r="115" spans="1:20">
      <c r="A115" s="2"/>
      <c r="B115" s="1"/>
      <c r="C115" s="2"/>
      <c r="D115" s="2"/>
      <c r="E115" s="2"/>
      <c r="F115" s="2"/>
      <c r="G115" s="2"/>
      <c r="H115" s="2"/>
      <c r="I115" s="2"/>
      <c r="J115" s="2"/>
      <c r="L115" s="14" t="s">
        <v>85</v>
      </c>
      <c r="M115" s="6"/>
      <c r="N115" s="6"/>
      <c r="O115" s="6"/>
      <c r="P115" s="6"/>
      <c r="Q115" s="6"/>
      <c r="R115" s="292"/>
      <c r="S115" s="296"/>
      <c r="T115" s="3"/>
    </row>
    <row r="116" spans="1:20">
      <c r="A116" s="2"/>
      <c r="B116" s="1"/>
      <c r="C116" s="2"/>
      <c r="D116" s="2"/>
      <c r="E116" s="2"/>
      <c r="F116" s="2"/>
      <c r="G116" s="2"/>
      <c r="H116" s="2"/>
      <c r="I116" s="2"/>
      <c r="J116" s="2"/>
      <c r="L116" s="1" t="s">
        <v>88</v>
      </c>
      <c r="M116" s="2"/>
      <c r="N116" s="2"/>
      <c r="O116" s="2"/>
      <c r="P116" s="2"/>
      <c r="Q116" s="2"/>
      <c r="R116" s="279"/>
      <c r="S116" s="272">
        <v>0</v>
      </c>
      <c r="T116" s="3"/>
    </row>
    <row r="117" spans="1:20">
      <c r="A117" s="2"/>
      <c r="B117" s="1"/>
      <c r="C117" s="2"/>
      <c r="D117" s="2"/>
      <c r="E117" s="2"/>
      <c r="F117" s="2"/>
      <c r="G117" s="2"/>
      <c r="H117" s="2"/>
      <c r="I117" s="2"/>
      <c r="J117" s="2"/>
      <c r="L117" s="1" t="s">
        <v>258</v>
      </c>
      <c r="M117" s="2"/>
      <c r="N117" s="2"/>
      <c r="O117" s="2"/>
      <c r="P117" s="2"/>
      <c r="Q117" s="2"/>
      <c r="R117" s="279"/>
      <c r="S117" s="272">
        <v>0</v>
      </c>
      <c r="T117" s="3"/>
    </row>
    <row r="118" spans="1:20">
      <c r="A118" s="2"/>
      <c r="B118" s="1"/>
      <c r="C118" s="2"/>
      <c r="D118" s="2"/>
      <c r="E118" s="2"/>
      <c r="F118" s="2"/>
      <c r="G118" s="2"/>
      <c r="H118" s="2"/>
      <c r="I118" s="2"/>
      <c r="J118" s="2"/>
      <c r="L118" s="17" t="s">
        <v>85</v>
      </c>
      <c r="M118" s="2"/>
      <c r="N118" s="2"/>
      <c r="O118" s="2"/>
      <c r="P118" s="2"/>
      <c r="Q118" s="2"/>
      <c r="R118" s="279"/>
      <c r="S118" s="295">
        <f>SUM(S116:S117)</f>
        <v>0</v>
      </c>
      <c r="T118" s="3"/>
    </row>
    <row r="119" spans="1:20">
      <c r="A119" s="2"/>
      <c r="B119" s="1"/>
      <c r="C119" s="2"/>
      <c r="D119" s="2"/>
      <c r="E119" s="2"/>
      <c r="F119" s="2"/>
      <c r="G119" s="2"/>
      <c r="H119" s="2"/>
      <c r="I119" s="2"/>
      <c r="J119" s="2"/>
      <c r="L119" s="17"/>
      <c r="M119" s="2"/>
      <c r="N119" s="2"/>
      <c r="O119" s="2"/>
      <c r="P119" s="2"/>
      <c r="Q119" s="2"/>
      <c r="R119" s="279"/>
      <c r="S119" s="295"/>
      <c r="T119" s="3"/>
    </row>
    <row r="120" spans="1:20">
      <c r="A120" s="2"/>
      <c r="B120" s="1"/>
      <c r="C120" s="2"/>
      <c r="D120" s="2"/>
      <c r="E120" s="2"/>
      <c r="F120" s="2"/>
      <c r="G120" s="2"/>
      <c r="H120" s="2"/>
      <c r="I120" s="2"/>
      <c r="J120" s="2"/>
      <c r="L120" s="17" t="s">
        <v>248</v>
      </c>
      <c r="M120" s="2"/>
      <c r="N120" s="2"/>
      <c r="O120" s="2"/>
      <c r="P120" s="2"/>
      <c r="Q120" s="2"/>
      <c r="R120" s="279"/>
      <c r="S120" s="295">
        <f>S109+S114+S118</f>
        <v>-9000000</v>
      </c>
      <c r="T120" s="3"/>
    </row>
    <row r="121" spans="1:20">
      <c r="A121" s="2"/>
      <c r="B121" s="1"/>
      <c r="C121" s="2"/>
      <c r="D121" s="2"/>
      <c r="E121" s="2"/>
      <c r="F121" s="2"/>
      <c r="G121" s="2"/>
      <c r="H121" s="2"/>
      <c r="I121" s="2"/>
      <c r="J121" s="2"/>
      <c r="L121" s="1"/>
      <c r="M121" s="2"/>
      <c r="N121" s="2"/>
      <c r="O121" s="2"/>
      <c r="P121" s="2"/>
      <c r="Q121" s="2"/>
      <c r="R121" s="279"/>
      <c r="S121" s="272"/>
      <c r="T121" s="3"/>
    </row>
    <row r="122" spans="1:20">
      <c r="A122" s="2"/>
      <c r="B122" s="1"/>
      <c r="C122" s="2"/>
      <c r="D122" s="2"/>
      <c r="E122" s="2"/>
      <c r="F122" s="2"/>
      <c r="G122" s="2"/>
      <c r="H122" s="2"/>
      <c r="I122" s="2"/>
      <c r="J122" s="2"/>
      <c r="L122" s="16" t="s">
        <v>89</v>
      </c>
      <c r="M122" s="2"/>
      <c r="N122" s="2"/>
      <c r="O122" s="2"/>
      <c r="P122" s="2"/>
      <c r="Q122" s="2"/>
      <c r="R122" s="279"/>
      <c r="S122" s="295">
        <f>H16</f>
        <v>5000000000</v>
      </c>
      <c r="T122" s="3"/>
    </row>
    <row r="123" spans="1:20">
      <c r="A123" s="2"/>
      <c r="B123" s="1"/>
      <c r="I123" s="2"/>
      <c r="J123" s="2"/>
      <c r="L123" s="1"/>
      <c r="M123" s="2"/>
      <c r="N123" s="2"/>
      <c r="O123" s="2"/>
      <c r="P123" s="2"/>
      <c r="Q123" s="2"/>
      <c r="R123" s="279"/>
      <c r="S123" s="295"/>
      <c r="T123" s="3"/>
    </row>
    <row r="124" spans="1:20">
      <c r="A124" s="2"/>
      <c r="B124" s="1"/>
      <c r="I124" s="2"/>
      <c r="J124" s="2"/>
      <c r="L124" s="16" t="s">
        <v>90</v>
      </c>
      <c r="M124" s="2"/>
      <c r="N124" s="2"/>
      <c r="O124" s="2"/>
      <c r="P124" s="2"/>
      <c r="Q124" s="2"/>
      <c r="R124" s="279"/>
      <c r="S124" s="295">
        <f>S122+S120</f>
        <v>4991000000</v>
      </c>
      <c r="T124" s="3"/>
    </row>
    <row r="125" spans="1:20" ht="16.5" thickBot="1">
      <c r="A125" s="2"/>
      <c r="B125" s="1"/>
      <c r="I125" s="2"/>
      <c r="J125" s="2"/>
      <c r="L125" s="8"/>
      <c r="M125" s="9"/>
      <c r="N125" s="9"/>
      <c r="O125" s="9"/>
      <c r="P125" s="9"/>
      <c r="Q125" s="9"/>
      <c r="R125" s="9"/>
      <c r="S125" s="38"/>
      <c r="T125" s="3"/>
    </row>
    <row r="126" spans="1:20">
      <c r="A126" s="2"/>
      <c r="B126" s="1"/>
      <c r="I126" s="2"/>
      <c r="J126" s="2"/>
      <c r="L126" s="2"/>
      <c r="M126" s="2"/>
      <c r="N126" s="2"/>
      <c r="O126" s="2"/>
      <c r="P126" s="2"/>
      <c r="Q126" s="2"/>
      <c r="R126" s="2"/>
      <c r="S126" s="2"/>
      <c r="T126" s="3"/>
    </row>
    <row r="127" spans="1:20" ht="16.5" thickBot="1">
      <c r="A127" s="2"/>
      <c r="B127" s="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39"/>
    </row>
    <row r="128" spans="1:20">
      <c r="A128" s="2"/>
    </row>
    <row r="129" spans="1:10">
      <c r="A129" s="2"/>
      <c r="I129" s="2"/>
      <c r="J129" s="2"/>
    </row>
    <row r="130" spans="1:10">
      <c r="A130" s="2"/>
      <c r="I130" s="2"/>
      <c r="J130" s="2"/>
    </row>
    <row r="131" spans="1:10">
      <c r="I131" s="2"/>
      <c r="J131" s="2"/>
    </row>
  </sheetData>
  <mergeCells count="1">
    <mergeCell ref="F36:G36"/>
  </mergeCells>
  <dataValidations count="4">
    <dataValidation type="list" allowBlank="1" showInputMessage="1" showErrorMessage="1" sqref="E38:E39">
      <formula1>"NA,NE,SE"</formula1>
    </dataValidation>
    <dataValidation type="whole" allowBlank="1" showInputMessage="1" showErrorMessage="1" errorTitle="Largo" error="El valor no está dentro del rango permitido." sqref="E43:E45">
      <formula1>N44</formula1>
      <formula2>O44</formula2>
    </dataValidation>
    <dataValidation type="whole" allowBlank="1" showInputMessage="1" showErrorMessage="1" errorTitle="Ancho" error="El valor no está dentro del rango permitido." sqref="F43:F45">
      <formula1>P44</formula1>
      <formula2>Q44</formula2>
    </dataValidation>
    <dataValidation type="whole" allowBlank="1" showInputMessage="1" showErrorMessage="1" errorTitle="Alto" error="El valor no está dentro del rango permitido." sqref="G43:G45">
      <formula1>R44</formula1>
      <formula2>S44</formula2>
    </dataValidation>
  </dataValidation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0"/>
  <sheetViews>
    <sheetView showGridLines="0" workbookViewId="0"/>
  </sheetViews>
  <sheetFormatPr baseColWidth="10" defaultColWidth="10.875" defaultRowHeight="15.75"/>
  <cols>
    <col min="1" max="1" width="3.875" style="4" customWidth="1"/>
    <col min="2" max="2" width="4.875" style="4" customWidth="1"/>
    <col min="3" max="3" width="16.875" style="4" customWidth="1"/>
    <col min="4" max="4" width="14.875" style="4" customWidth="1"/>
    <col min="5" max="5" width="16.875" style="4" customWidth="1"/>
    <col min="6" max="15" width="14.875" style="4" customWidth="1"/>
    <col min="16" max="16" width="4.875" style="4" customWidth="1"/>
    <col min="17" max="17" width="14.125" style="4" customWidth="1"/>
    <col min="18" max="18" width="4.875" style="4" customWidth="1"/>
    <col min="19" max="19" width="13.125" style="4" customWidth="1"/>
    <col min="20" max="20" width="14.125" style="4" customWidth="1"/>
    <col min="21" max="21" width="13.375" style="4" customWidth="1"/>
    <col min="22" max="22" width="4.875" style="4" customWidth="1"/>
    <col min="23" max="24" width="16.875" style="4" customWidth="1"/>
    <col min="25" max="16384" width="10.875" style="4"/>
  </cols>
  <sheetData>
    <row r="1" spans="2:16" ht="16.5" thickBot="1"/>
    <row r="2" spans="2:16" ht="33" customHeight="1" thickBot="1">
      <c r="B2" s="114" t="s">
        <v>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6"/>
    </row>
    <row r="3" spans="2:16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40"/>
    </row>
    <row r="4" spans="2:16" ht="23.25">
      <c r="B4" s="64" t="s">
        <v>216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65"/>
    </row>
    <row r="5" spans="2:16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</row>
    <row r="6" spans="2:16" ht="24" thickBot="1">
      <c r="B6" s="139"/>
      <c r="C6" s="136" t="s">
        <v>1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40"/>
    </row>
    <row r="7" spans="2:16">
      <c r="B7" s="74"/>
      <c r="C7" s="130" t="s">
        <v>299</v>
      </c>
      <c r="D7" s="130"/>
      <c r="E7" s="130"/>
      <c r="F7" s="130"/>
      <c r="G7" s="130"/>
      <c r="H7" s="131">
        <v>200000000</v>
      </c>
      <c r="I7" s="69"/>
      <c r="J7" s="69"/>
      <c r="K7" s="69"/>
      <c r="L7" s="69"/>
      <c r="M7" s="69"/>
      <c r="N7" s="69"/>
      <c r="O7" s="69"/>
      <c r="P7" s="138"/>
    </row>
    <row r="8" spans="2:16">
      <c r="B8" s="74"/>
      <c r="C8" s="132" t="s">
        <v>14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138"/>
    </row>
    <row r="9" spans="2:16">
      <c r="B9" s="74"/>
      <c r="C9" s="132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138"/>
    </row>
    <row r="10" spans="2:16">
      <c r="B10" s="74"/>
      <c r="C10" s="133" t="s">
        <v>12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138"/>
    </row>
    <row r="11" spans="2:16">
      <c r="B11" s="74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138"/>
    </row>
    <row r="12" spans="2:16">
      <c r="B12" s="74"/>
      <c r="C12" s="69"/>
      <c r="D12" s="182" t="s">
        <v>15</v>
      </c>
      <c r="E12" s="183"/>
      <c r="F12" s="182" t="s">
        <v>16</v>
      </c>
      <c r="G12" s="183"/>
      <c r="H12" s="182" t="s">
        <v>17</v>
      </c>
      <c r="I12" s="183"/>
      <c r="J12" s="69"/>
      <c r="K12" s="69"/>
      <c r="L12" s="69"/>
      <c r="M12" s="69"/>
      <c r="N12" s="69"/>
      <c r="O12" s="69"/>
      <c r="P12" s="138"/>
    </row>
    <row r="13" spans="2:16">
      <c r="B13" s="74"/>
      <c r="C13" s="69"/>
      <c r="D13" s="169" t="s">
        <v>10</v>
      </c>
      <c r="E13" s="169" t="s">
        <v>11</v>
      </c>
      <c r="F13" s="169" t="s">
        <v>10</v>
      </c>
      <c r="G13" s="169" t="s">
        <v>11</v>
      </c>
      <c r="H13" s="169" t="s">
        <v>10</v>
      </c>
      <c r="I13" s="169" t="s">
        <v>11</v>
      </c>
      <c r="J13" s="69"/>
      <c r="K13" s="69"/>
      <c r="L13" s="69"/>
      <c r="M13" s="69"/>
      <c r="N13" s="69"/>
      <c r="O13" s="69"/>
      <c r="P13" s="138"/>
    </row>
    <row r="14" spans="2:16">
      <c r="B14" s="74"/>
      <c r="C14" s="169" t="s">
        <v>8</v>
      </c>
      <c r="D14" s="30">
        <v>440</v>
      </c>
      <c r="E14" s="30">
        <v>479</v>
      </c>
      <c r="F14" s="30">
        <v>172</v>
      </c>
      <c r="G14" s="30">
        <v>186</v>
      </c>
      <c r="H14" s="30">
        <v>142</v>
      </c>
      <c r="I14" s="30">
        <v>167</v>
      </c>
      <c r="J14" s="69"/>
      <c r="K14" s="69"/>
      <c r="L14" s="69"/>
      <c r="M14" s="69"/>
      <c r="N14" s="69"/>
      <c r="O14" s="69"/>
      <c r="P14" s="138"/>
    </row>
    <row r="15" spans="2:16">
      <c r="B15" s="74"/>
      <c r="C15" s="169" t="s">
        <v>9</v>
      </c>
      <c r="D15" s="188">
        <v>480</v>
      </c>
      <c r="E15" s="188">
        <v>510</v>
      </c>
      <c r="F15" s="188">
        <v>173</v>
      </c>
      <c r="G15" s="188">
        <v>194</v>
      </c>
      <c r="H15" s="188">
        <v>141</v>
      </c>
      <c r="I15" s="188">
        <v>172</v>
      </c>
      <c r="J15" s="69"/>
      <c r="K15" s="69"/>
      <c r="L15" s="69"/>
      <c r="M15" s="69"/>
      <c r="N15" s="69"/>
      <c r="O15" s="69"/>
      <c r="P15" s="138"/>
    </row>
    <row r="16" spans="2:16">
      <c r="B16" s="74"/>
      <c r="C16" s="169" t="s">
        <v>156</v>
      </c>
      <c r="D16" s="30">
        <v>430</v>
      </c>
      <c r="E16" s="30">
        <v>475</v>
      </c>
      <c r="F16" s="30">
        <v>174</v>
      </c>
      <c r="G16" s="30">
        <v>195</v>
      </c>
      <c r="H16" s="30">
        <v>150</v>
      </c>
      <c r="I16" s="30">
        <v>185</v>
      </c>
      <c r="J16" s="69"/>
      <c r="K16" s="69"/>
      <c r="L16" s="69"/>
      <c r="M16" s="69"/>
      <c r="N16" s="69"/>
      <c r="O16" s="69"/>
      <c r="P16" s="138"/>
    </row>
    <row r="17" spans="2:16">
      <c r="B17" s="74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138"/>
    </row>
    <row r="18" spans="2:16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2"/>
    </row>
    <row r="19" spans="2:16">
      <c r="B19" s="20"/>
      <c r="C19" s="24" t="s">
        <v>93</v>
      </c>
      <c r="D19" s="24"/>
      <c r="E19" s="21"/>
      <c r="F19" s="21"/>
      <c r="G19" s="21" t="s">
        <v>313</v>
      </c>
      <c r="H19" s="21"/>
      <c r="I19" s="21"/>
      <c r="J19" s="21"/>
      <c r="K19" s="21"/>
      <c r="L19" s="21"/>
      <c r="M19" s="21"/>
      <c r="N19" s="21"/>
      <c r="O19" s="21"/>
      <c r="P19" s="22"/>
    </row>
    <row r="20" spans="2:16"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2"/>
    </row>
    <row r="21" spans="2:16">
      <c r="B21" s="20"/>
      <c r="C21" s="168" t="s">
        <v>3</v>
      </c>
      <c r="D21" s="168" t="s">
        <v>4</v>
      </c>
      <c r="E21" s="168" t="s">
        <v>5</v>
      </c>
      <c r="F21" s="168" t="s">
        <v>6</v>
      </c>
      <c r="G21" s="168" t="s">
        <v>7</v>
      </c>
      <c r="H21" s="168" t="s">
        <v>13</v>
      </c>
      <c r="I21" s="21"/>
      <c r="J21" s="21"/>
      <c r="K21" s="21"/>
      <c r="L21" s="21"/>
      <c r="M21" s="21"/>
      <c r="N21" s="21"/>
      <c r="O21" s="21"/>
      <c r="P21" s="22"/>
    </row>
    <row r="22" spans="2:16">
      <c r="B22" s="20"/>
      <c r="C22" s="27"/>
      <c r="D22" s="28"/>
      <c r="E22" s="28"/>
      <c r="F22" s="28"/>
      <c r="G22" s="28"/>
      <c r="H22" s="164">
        <f>IF(C22&lt;&gt;"",200000000,0)</f>
        <v>0</v>
      </c>
      <c r="I22" s="21"/>
      <c r="J22" s="21"/>
      <c r="K22" s="21"/>
      <c r="L22" s="21"/>
      <c r="M22" s="21"/>
      <c r="N22" s="21"/>
      <c r="O22" s="21"/>
      <c r="P22" s="22"/>
    </row>
    <row r="23" spans="2:16">
      <c r="B23" s="20"/>
      <c r="I23" s="21"/>
      <c r="J23" s="21"/>
      <c r="K23" s="21"/>
      <c r="L23" s="21"/>
      <c r="M23" s="21"/>
      <c r="N23" s="21"/>
      <c r="O23" s="21"/>
      <c r="P23" s="22"/>
    </row>
    <row r="24" spans="2:16">
      <c r="B24" s="20"/>
      <c r="P24" s="22"/>
    </row>
    <row r="25" spans="2:16">
      <c r="B25" s="20"/>
      <c r="P25" s="22"/>
    </row>
    <row r="26" spans="2:16">
      <c r="B26" s="20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2"/>
    </row>
    <row r="27" spans="2:16" ht="23.25">
      <c r="B27" s="64" t="s">
        <v>116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65"/>
    </row>
    <row r="28" spans="2:16">
      <c r="B28" s="2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2"/>
    </row>
    <row r="29" spans="2:16" ht="24" thickBot="1">
      <c r="B29" s="139"/>
      <c r="C29" s="136" t="s">
        <v>1</v>
      </c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40"/>
    </row>
    <row r="30" spans="2:16">
      <c r="B30" s="74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138"/>
    </row>
    <row r="31" spans="2:16">
      <c r="B31" s="74"/>
      <c r="C31" s="130" t="s">
        <v>300</v>
      </c>
      <c r="D31" s="130"/>
      <c r="E31" s="130"/>
      <c r="F31" s="130"/>
      <c r="G31" s="130"/>
      <c r="H31" s="131">
        <v>200000000</v>
      </c>
      <c r="I31" s="69"/>
      <c r="J31" s="69"/>
      <c r="K31" s="69"/>
      <c r="L31" s="69"/>
      <c r="M31" s="69"/>
      <c r="N31" s="69"/>
      <c r="O31" s="69"/>
      <c r="P31" s="138"/>
    </row>
    <row r="32" spans="2:16">
      <c r="B32" s="74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138"/>
    </row>
    <row r="33" spans="2:16">
      <c r="B33" s="74"/>
      <c r="C33" s="133" t="s">
        <v>250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138"/>
    </row>
    <row r="34" spans="2:16">
      <c r="B34" s="74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138"/>
    </row>
    <row r="35" spans="2:16" ht="33.950000000000003" customHeight="1">
      <c r="B35" s="74"/>
      <c r="C35" s="69"/>
      <c r="D35" s="167" t="s">
        <v>104</v>
      </c>
      <c r="E35" s="169" t="s">
        <v>157</v>
      </c>
      <c r="F35" s="169" t="s">
        <v>107</v>
      </c>
      <c r="G35" s="169" t="s">
        <v>106</v>
      </c>
      <c r="H35" s="69"/>
      <c r="I35" s="69"/>
      <c r="J35" s="69"/>
      <c r="K35" s="69"/>
      <c r="L35" s="69"/>
      <c r="M35" s="69"/>
      <c r="N35" s="69"/>
      <c r="O35" s="69"/>
      <c r="P35" s="138"/>
    </row>
    <row r="36" spans="2:16">
      <c r="B36" s="74"/>
      <c r="C36" s="184"/>
      <c r="D36" s="161" t="s">
        <v>227</v>
      </c>
      <c r="E36" s="158" t="s">
        <v>264</v>
      </c>
      <c r="F36" s="122"/>
      <c r="G36" s="122"/>
      <c r="H36" s="69"/>
      <c r="I36" s="69"/>
      <c r="J36" s="69"/>
      <c r="K36" s="69"/>
      <c r="L36" s="69"/>
      <c r="M36" s="69"/>
      <c r="N36" s="69"/>
      <c r="O36" s="69"/>
      <c r="P36" s="138"/>
    </row>
    <row r="37" spans="2:16">
      <c r="B37" s="74"/>
      <c r="C37" s="185" t="s">
        <v>160</v>
      </c>
      <c r="D37" s="162" t="s">
        <v>158</v>
      </c>
      <c r="E37" s="159" t="s">
        <v>263</v>
      </c>
      <c r="F37" s="86" t="s">
        <v>110</v>
      </c>
      <c r="G37" s="86" t="s">
        <v>109</v>
      </c>
      <c r="H37" s="69"/>
      <c r="I37" s="69"/>
      <c r="J37" s="69"/>
      <c r="K37" s="69"/>
      <c r="L37" s="69"/>
      <c r="M37" s="69"/>
      <c r="N37" s="69"/>
      <c r="O37" s="69"/>
      <c r="P37" s="138"/>
    </row>
    <row r="38" spans="2:16">
      <c r="B38" s="74"/>
      <c r="C38" s="186"/>
      <c r="D38" s="163" t="s">
        <v>159</v>
      </c>
      <c r="E38" s="160">
        <v>210</v>
      </c>
      <c r="F38" s="87"/>
      <c r="G38" s="87"/>
      <c r="H38" s="69"/>
      <c r="I38" s="69"/>
      <c r="J38" s="69"/>
      <c r="K38" s="69"/>
      <c r="L38" s="69"/>
      <c r="M38" s="69"/>
      <c r="N38" s="69"/>
      <c r="O38" s="69"/>
      <c r="P38" s="138"/>
    </row>
    <row r="39" spans="2:16">
      <c r="B39" s="74"/>
      <c r="C39" s="184"/>
      <c r="D39" s="189" t="s">
        <v>227</v>
      </c>
      <c r="E39" s="190" t="s">
        <v>266</v>
      </c>
      <c r="F39" s="191"/>
      <c r="G39" s="191"/>
      <c r="H39" s="69"/>
      <c r="I39" s="69"/>
      <c r="J39" s="69"/>
      <c r="K39" s="69"/>
      <c r="L39" s="69"/>
      <c r="M39" s="69"/>
      <c r="N39" s="69"/>
      <c r="O39" s="69"/>
      <c r="P39" s="138"/>
    </row>
    <row r="40" spans="2:16">
      <c r="B40" s="74"/>
      <c r="C40" s="185" t="s">
        <v>108</v>
      </c>
      <c r="D40" s="192" t="s">
        <v>158</v>
      </c>
      <c r="E40" s="193" t="s">
        <v>265</v>
      </c>
      <c r="F40" s="194" t="s">
        <v>110</v>
      </c>
      <c r="G40" s="194" t="s">
        <v>110</v>
      </c>
      <c r="H40" s="69"/>
      <c r="I40" s="69"/>
      <c r="J40" s="69"/>
      <c r="K40" s="69"/>
      <c r="L40" s="69"/>
      <c r="M40" s="69"/>
      <c r="N40" s="69"/>
      <c r="O40" s="69"/>
      <c r="P40" s="138"/>
    </row>
    <row r="41" spans="2:16">
      <c r="B41" s="74"/>
      <c r="C41" s="186"/>
      <c r="D41" s="195" t="s">
        <v>159</v>
      </c>
      <c r="E41" s="196">
        <v>225</v>
      </c>
      <c r="F41" s="197"/>
      <c r="G41" s="197"/>
      <c r="H41" s="69"/>
      <c r="I41" s="69"/>
      <c r="J41" s="69"/>
      <c r="K41" s="69"/>
      <c r="L41" s="69"/>
      <c r="M41" s="69"/>
      <c r="N41" s="69"/>
      <c r="O41" s="69"/>
      <c r="P41" s="138"/>
    </row>
    <row r="42" spans="2:16">
      <c r="B42" s="74"/>
      <c r="C42" s="184"/>
      <c r="D42" s="161" t="s">
        <v>227</v>
      </c>
      <c r="E42" s="158" t="s">
        <v>267</v>
      </c>
      <c r="F42" s="122"/>
      <c r="G42" s="122"/>
      <c r="H42" s="69"/>
      <c r="I42" s="69"/>
      <c r="J42" s="69"/>
      <c r="K42" s="69"/>
      <c r="L42" s="69"/>
      <c r="M42" s="69"/>
      <c r="N42" s="69"/>
      <c r="O42" s="69"/>
      <c r="P42" s="138"/>
    </row>
    <row r="43" spans="2:16">
      <c r="B43" s="74"/>
      <c r="C43" s="185" t="s">
        <v>161</v>
      </c>
      <c r="D43" s="162" t="s">
        <v>158</v>
      </c>
      <c r="E43" s="159" t="s">
        <v>266</v>
      </c>
      <c r="F43" s="86" t="s">
        <v>109</v>
      </c>
      <c r="G43" s="86" t="s">
        <v>109</v>
      </c>
      <c r="H43" s="69"/>
      <c r="I43" s="69"/>
      <c r="J43" s="69"/>
      <c r="K43" s="69"/>
      <c r="L43" s="69"/>
      <c r="M43" s="69"/>
      <c r="N43" s="69"/>
      <c r="O43" s="69"/>
      <c r="P43" s="138"/>
    </row>
    <row r="44" spans="2:16">
      <c r="B44" s="74"/>
      <c r="C44" s="186"/>
      <c r="D44" s="163" t="s">
        <v>159</v>
      </c>
      <c r="E44" s="160" t="s">
        <v>268</v>
      </c>
      <c r="F44" s="87"/>
      <c r="G44" s="87"/>
      <c r="H44" s="69"/>
      <c r="I44" s="69"/>
      <c r="J44" s="69"/>
      <c r="K44" s="69"/>
      <c r="L44" s="69"/>
      <c r="M44" s="69"/>
      <c r="N44" s="69"/>
      <c r="O44" s="69"/>
      <c r="P44" s="138"/>
    </row>
    <row r="45" spans="2:16">
      <c r="B45" s="74"/>
      <c r="C45" s="135" t="s">
        <v>249</v>
      </c>
      <c r="D45" s="135"/>
      <c r="E45" s="135"/>
      <c r="F45" s="135"/>
      <c r="G45" s="135"/>
      <c r="H45" s="69"/>
      <c r="I45" s="69"/>
      <c r="J45" s="69"/>
      <c r="K45" s="69"/>
      <c r="L45" s="69"/>
      <c r="M45" s="69"/>
      <c r="N45" s="69"/>
      <c r="O45" s="69"/>
      <c r="P45" s="138"/>
    </row>
    <row r="46" spans="2:16">
      <c r="B46" s="74"/>
      <c r="C46" s="69"/>
      <c r="D46" s="135"/>
      <c r="E46" s="135"/>
      <c r="F46" s="135"/>
      <c r="G46" s="135"/>
      <c r="H46" s="135"/>
      <c r="I46" s="69"/>
      <c r="J46" s="69"/>
      <c r="K46" s="69"/>
      <c r="L46" s="69"/>
      <c r="M46" s="69"/>
      <c r="N46" s="69"/>
      <c r="O46" s="69"/>
      <c r="P46" s="138"/>
    </row>
    <row r="47" spans="2:16">
      <c r="B47" s="20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2"/>
    </row>
    <row r="48" spans="2:16">
      <c r="B48" s="20"/>
      <c r="C48" s="56" t="s">
        <v>360</v>
      </c>
      <c r="D48" s="56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2"/>
    </row>
    <row r="49" spans="2:16">
      <c r="B49" s="20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2"/>
    </row>
    <row r="50" spans="2:16">
      <c r="B50" s="20"/>
      <c r="C50" s="24" t="s">
        <v>103</v>
      </c>
      <c r="D50" s="24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2"/>
    </row>
    <row r="51" spans="2:16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2"/>
    </row>
    <row r="52" spans="2:16">
      <c r="B52" s="20"/>
      <c r="C52" s="168" t="s">
        <v>3</v>
      </c>
      <c r="D52" s="165" t="str">
        <f>'Año 1'!$C$43</f>
        <v>S3</v>
      </c>
      <c r="E52" s="168" t="s">
        <v>4</v>
      </c>
      <c r="F52" s="165">
        <f>'Año 1'!$D$43</f>
        <v>0</v>
      </c>
      <c r="G52" s="21"/>
      <c r="H52" s="21"/>
      <c r="I52" s="21"/>
      <c r="J52" s="21"/>
      <c r="K52" s="21"/>
      <c r="L52" s="21"/>
      <c r="M52" s="21"/>
      <c r="N52" s="21"/>
      <c r="O52" s="21"/>
      <c r="P52" s="22"/>
    </row>
    <row r="53" spans="2:16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2"/>
    </row>
    <row r="54" spans="2:16">
      <c r="B54" s="20"/>
      <c r="C54" s="168" t="s">
        <v>104</v>
      </c>
      <c r="D54" s="169" t="s">
        <v>157</v>
      </c>
      <c r="E54" s="168" t="s">
        <v>105</v>
      </c>
      <c r="F54" s="168" t="s">
        <v>106</v>
      </c>
      <c r="G54" s="168" t="s">
        <v>13</v>
      </c>
      <c r="H54" s="21"/>
      <c r="I54" s="21"/>
      <c r="J54" s="21"/>
      <c r="K54" s="21"/>
      <c r="L54" s="21"/>
      <c r="M54" s="21"/>
      <c r="N54" s="21"/>
      <c r="O54" s="21"/>
      <c r="P54" s="22"/>
    </row>
    <row r="55" spans="2:16" ht="17.100000000000001" customHeight="1">
      <c r="B55" s="20"/>
      <c r="C55" s="28"/>
      <c r="D55" s="28"/>
      <c r="E55" s="28"/>
      <c r="F55" s="28"/>
      <c r="G55" s="166">
        <f>IF(F52&lt;&gt;0,200000000,0)</f>
        <v>0</v>
      </c>
      <c r="H55" s="21"/>
      <c r="I55" s="21"/>
      <c r="J55" s="21"/>
      <c r="K55" s="21"/>
      <c r="L55" s="21"/>
      <c r="M55" s="21"/>
      <c r="N55" s="21"/>
      <c r="O55" s="21"/>
      <c r="P55" s="22"/>
    </row>
    <row r="56" spans="2:16" ht="17.100000000000001" customHeight="1">
      <c r="B56" s="20"/>
      <c r="C56" s="28"/>
      <c r="D56" s="28"/>
      <c r="E56" s="28"/>
      <c r="F56" s="28"/>
      <c r="G56" s="21"/>
      <c r="P56" s="22"/>
    </row>
    <row r="57" spans="2:16" ht="15.95" customHeight="1">
      <c r="B57" s="20"/>
      <c r="C57" s="28"/>
      <c r="D57" s="28"/>
      <c r="E57" s="28"/>
      <c r="F57" s="28"/>
      <c r="G57" s="21"/>
      <c r="P57" s="22"/>
    </row>
    <row r="58" spans="2:16" ht="17.100000000000001" customHeight="1">
      <c r="B58" s="20"/>
      <c r="C58" s="28"/>
      <c r="D58" s="28"/>
      <c r="E58" s="28"/>
      <c r="F58" s="28"/>
      <c r="G58" s="21"/>
      <c r="P58" s="22"/>
    </row>
    <row r="59" spans="2:16" ht="17.100000000000001" customHeight="1">
      <c r="B59" s="1"/>
      <c r="C59" s="28"/>
      <c r="D59" s="28"/>
      <c r="E59" s="28"/>
      <c r="F59" s="28"/>
      <c r="G59" s="21"/>
      <c r="P59" s="3"/>
    </row>
    <row r="60" spans="2:16" ht="15.95" customHeight="1">
      <c r="B60" s="1"/>
      <c r="C60" s="28"/>
      <c r="D60" s="28"/>
      <c r="E60" s="28"/>
      <c r="F60" s="28"/>
      <c r="G60" s="21"/>
      <c r="P60" s="3"/>
    </row>
    <row r="61" spans="2:16" ht="17.100000000000001" customHeight="1">
      <c r="B61" s="20"/>
      <c r="C61" s="28"/>
      <c r="D61" s="28"/>
      <c r="E61" s="28"/>
      <c r="F61" s="28"/>
      <c r="G61" s="21"/>
      <c r="P61" s="22"/>
    </row>
    <row r="62" spans="2:16" ht="17.100000000000001" customHeight="1">
      <c r="B62" s="20"/>
      <c r="C62" s="28"/>
      <c r="D62" s="28"/>
      <c r="E62" s="28"/>
      <c r="F62" s="28"/>
      <c r="G62" s="21"/>
      <c r="P62" s="22"/>
    </row>
    <row r="63" spans="2:16" ht="15.95" customHeight="1">
      <c r="B63" s="20"/>
      <c r="C63" s="21"/>
      <c r="D63" s="21"/>
      <c r="P63" s="22"/>
    </row>
    <row r="64" spans="2:16">
      <c r="B64" s="20"/>
      <c r="C64" s="21"/>
      <c r="D64" s="21"/>
      <c r="P64" s="22"/>
    </row>
    <row r="65" spans="2:16">
      <c r="B65" s="20"/>
      <c r="C65" s="168" t="s">
        <v>3</v>
      </c>
      <c r="D65" s="165" t="str">
        <f>'Año 1'!$C$44</f>
        <v>S4</v>
      </c>
      <c r="E65" s="168" t="s">
        <v>4</v>
      </c>
      <c r="F65" s="165">
        <f>'Año 1'!$D$44</f>
        <v>0</v>
      </c>
      <c r="P65" s="22"/>
    </row>
    <row r="66" spans="2:16">
      <c r="B66" s="20"/>
      <c r="P66" s="42"/>
    </row>
    <row r="67" spans="2:16">
      <c r="B67" s="1"/>
      <c r="C67" s="168" t="s">
        <v>104</v>
      </c>
      <c r="D67" s="169" t="s">
        <v>157</v>
      </c>
      <c r="E67" s="168" t="s">
        <v>105</v>
      </c>
      <c r="F67" s="168" t="s">
        <v>106</v>
      </c>
      <c r="G67" s="168" t="s">
        <v>13</v>
      </c>
      <c r="P67" s="3"/>
    </row>
    <row r="68" spans="2:16">
      <c r="B68" s="1"/>
      <c r="C68" s="28"/>
      <c r="D68" s="28"/>
      <c r="E68" s="28"/>
      <c r="F68" s="28"/>
      <c r="G68" s="166">
        <f>IF(F65&lt;&gt;0,200000000,0)</f>
        <v>0</v>
      </c>
      <c r="P68" s="3"/>
    </row>
    <row r="69" spans="2:16">
      <c r="B69" s="20"/>
      <c r="C69" s="28"/>
      <c r="D69" s="28"/>
      <c r="E69" s="28"/>
      <c r="F69" s="28"/>
      <c r="G69" s="21"/>
      <c r="P69" s="22"/>
    </row>
    <row r="70" spans="2:16">
      <c r="B70" s="20"/>
      <c r="C70" s="28"/>
      <c r="D70" s="28"/>
      <c r="E70" s="28"/>
      <c r="F70" s="28"/>
      <c r="G70" s="21"/>
      <c r="P70" s="22"/>
    </row>
    <row r="71" spans="2:16">
      <c r="B71" s="20"/>
      <c r="C71" s="28"/>
      <c r="D71" s="28"/>
      <c r="E71" s="28"/>
      <c r="F71" s="28"/>
      <c r="G71" s="21"/>
      <c r="P71" s="22"/>
    </row>
    <row r="72" spans="2:16">
      <c r="B72" s="20"/>
      <c r="C72" s="28"/>
      <c r="D72" s="28"/>
      <c r="E72" s="28"/>
      <c r="F72" s="28"/>
      <c r="G72" s="21"/>
      <c r="P72" s="22"/>
    </row>
    <row r="73" spans="2:16">
      <c r="B73" s="20"/>
      <c r="C73" s="28"/>
      <c r="D73" s="28"/>
      <c r="E73" s="28"/>
      <c r="F73" s="28"/>
      <c r="G73" s="21"/>
      <c r="P73" s="22"/>
    </row>
    <row r="74" spans="2:16">
      <c r="B74" s="20"/>
      <c r="C74" s="28"/>
      <c r="D74" s="28"/>
      <c r="E74" s="28"/>
      <c r="F74" s="28"/>
      <c r="G74" s="21"/>
      <c r="P74" s="42"/>
    </row>
    <row r="75" spans="2:16">
      <c r="B75" s="20"/>
      <c r="C75" s="28"/>
      <c r="D75" s="28"/>
      <c r="E75" s="28"/>
      <c r="F75" s="28"/>
      <c r="G75" s="21"/>
      <c r="P75" s="43"/>
    </row>
    <row r="76" spans="2:16">
      <c r="B76" s="20"/>
      <c r="P76" s="43"/>
    </row>
    <row r="77" spans="2:16">
      <c r="B77" s="20"/>
      <c r="P77" s="43"/>
    </row>
    <row r="78" spans="2:16">
      <c r="B78" s="20"/>
      <c r="C78" s="168" t="s">
        <v>3</v>
      </c>
      <c r="D78" s="165" t="str">
        <f>'Año 1'!$C$45</f>
        <v>S5</v>
      </c>
      <c r="E78" s="168" t="s">
        <v>4</v>
      </c>
      <c r="F78" s="165">
        <f>'Año 1'!$D$45</f>
        <v>0</v>
      </c>
      <c r="P78" s="43"/>
    </row>
    <row r="79" spans="2:16">
      <c r="B79" s="20"/>
      <c r="P79" s="43"/>
    </row>
    <row r="80" spans="2:16">
      <c r="B80" s="20"/>
      <c r="C80" s="168" t="s">
        <v>104</v>
      </c>
      <c r="D80" s="169" t="s">
        <v>157</v>
      </c>
      <c r="E80" s="168" t="s">
        <v>105</v>
      </c>
      <c r="F80" s="168" t="s">
        <v>106</v>
      </c>
      <c r="G80" s="168" t="s">
        <v>13</v>
      </c>
      <c r="P80" s="43"/>
    </row>
    <row r="81" spans="2:16">
      <c r="B81" s="20"/>
      <c r="C81" s="28"/>
      <c r="D81" s="28"/>
      <c r="E81" s="28"/>
      <c r="F81" s="28"/>
      <c r="G81" s="166">
        <f>IF(F78&lt;&gt;0,200000000,0)</f>
        <v>0</v>
      </c>
      <c r="P81" s="43"/>
    </row>
    <row r="82" spans="2:16">
      <c r="B82" s="20"/>
      <c r="C82" s="28"/>
      <c r="D82" s="28"/>
      <c r="E82" s="28"/>
      <c r="F82" s="28"/>
      <c r="G82" s="21"/>
      <c r="P82" s="43"/>
    </row>
    <row r="83" spans="2:16">
      <c r="B83" s="20"/>
      <c r="C83" s="28"/>
      <c r="D83" s="28"/>
      <c r="E83" s="28"/>
      <c r="F83" s="28"/>
      <c r="G83" s="21"/>
      <c r="P83" s="43"/>
    </row>
    <row r="84" spans="2:16">
      <c r="B84" s="20"/>
      <c r="C84" s="28"/>
      <c r="D84" s="28"/>
      <c r="E84" s="28"/>
      <c r="F84" s="28"/>
      <c r="G84" s="21"/>
      <c r="P84" s="43"/>
    </row>
    <row r="85" spans="2:16">
      <c r="B85" s="20"/>
      <c r="C85" s="28"/>
      <c r="D85" s="28"/>
      <c r="E85" s="28"/>
      <c r="F85" s="28"/>
      <c r="G85" s="21"/>
      <c r="P85" s="43"/>
    </row>
    <row r="86" spans="2:16">
      <c r="B86" s="20"/>
      <c r="C86" s="28"/>
      <c r="D86" s="28"/>
      <c r="E86" s="28"/>
      <c r="F86" s="28"/>
      <c r="G86" s="21"/>
      <c r="P86" s="43"/>
    </row>
    <row r="87" spans="2:16">
      <c r="B87" s="20"/>
      <c r="C87" s="28"/>
      <c r="D87" s="28"/>
      <c r="E87" s="28"/>
      <c r="F87" s="28"/>
      <c r="G87" s="21"/>
      <c r="P87" s="43"/>
    </row>
    <row r="88" spans="2:16">
      <c r="B88" s="20"/>
      <c r="C88" s="28"/>
      <c r="D88" s="28"/>
      <c r="E88" s="28"/>
      <c r="F88" s="28"/>
      <c r="G88" s="21"/>
      <c r="P88" s="43"/>
    </row>
    <row r="89" spans="2:16">
      <c r="B89" s="20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43"/>
    </row>
    <row r="90" spans="2:16">
      <c r="B90" s="20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43"/>
    </row>
    <row r="91" spans="2:16" ht="23.25">
      <c r="B91" s="64" t="s">
        <v>315</v>
      </c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65"/>
    </row>
    <row r="92" spans="2:16">
      <c r="B92" s="20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2"/>
    </row>
    <row r="93" spans="2:16" ht="24" thickBot="1">
      <c r="B93" s="139"/>
      <c r="C93" s="136" t="s">
        <v>1</v>
      </c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40"/>
    </row>
    <row r="94" spans="2:16">
      <c r="B94" s="74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138"/>
    </row>
    <row r="95" spans="2:16">
      <c r="B95" s="74"/>
      <c r="C95" s="130" t="s">
        <v>146</v>
      </c>
      <c r="D95" s="135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141"/>
    </row>
    <row r="96" spans="2:16">
      <c r="B96" s="74"/>
      <c r="C96" s="135"/>
      <c r="D96" s="135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141"/>
    </row>
    <row r="97" spans="2:16">
      <c r="B97" s="74"/>
      <c r="C97" s="169" t="s">
        <v>251</v>
      </c>
      <c r="D97" s="169" t="s">
        <v>13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141"/>
    </row>
    <row r="98" spans="2:16">
      <c r="B98" s="74"/>
      <c r="C98" s="30" t="s">
        <v>97</v>
      </c>
      <c r="D98" s="297">
        <v>350000000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141"/>
    </row>
    <row r="99" spans="2:16">
      <c r="B99" s="74"/>
      <c r="C99" s="188" t="s">
        <v>98</v>
      </c>
      <c r="D99" s="298">
        <v>550000000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141"/>
    </row>
    <row r="100" spans="2:16">
      <c r="B100" s="74"/>
      <c r="C100" s="30" t="s">
        <v>99</v>
      </c>
      <c r="D100" s="297">
        <v>750000000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141"/>
    </row>
    <row r="101" spans="2:16">
      <c r="B101" s="74"/>
      <c r="C101" s="188" t="s">
        <v>100</v>
      </c>
      <c r="D101" s="298">
        <v>950000000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141"/>
    </row>
    <row r="102" spans="2:16">
      <c r="B102" s="74"/>
      <c r="C102" s="30" t="s">
        <v>101</v>
      </c>
      <c r="D102" s="297">
        <v>1150000000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141"/>
    </row>
    <row r="103" spans="2:16">
      <c r="B103" s="74"/>
      <c r="C103" s="135"/>
      <c r="D103" s="135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141"/>
    </row>
    <row r="104" spans="2:16">
      <c r="B104" s="20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43"/>
    </row>
    <row r="105" spans="2:16">
      <c r="B105" s="20"/>
      <c r="C105" s="142" t="s">
        <v>314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43"/>
    </row>
    <row r="106" spans="2:16">
      <c r="B106" s="20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43"/>
    </row>
    <row r="107" spans="2:16">
      <c r="B107" s="20"/>
      <c r="C107" s="32" t="s">
        <v>252</v>
      </c>
      <c r="D107" s="3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43"/>
    </row>
    <row r="108" spans="2:16">
      <c r="B108" s="20"/>
      <c r="C108" s="2"/>
      <c r="D108" s="2"/>
      <c r="E108" s="2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2"/>
    </row>
    <row r="109" spans="2:16">
      <c r="B109" s="20"/>
      <c r="C109" s="168" t="s">
        <v>207</v>
      </c>
      <c r="D109" s="168" t="s">
        <v>95</v>
      </c>
      <c r="E109" s="168" t="s">
        <v>96</v>
      </c>
      <c r="F109" s="2"/>
      <c r="G109" s="21"/>
      <c r="H109" s="21"/>
      <c r="I109" s="21"/>
      <c r="J109" s="21"/>
      <c r="K109" s="21"/>
      <c r="L109" s="21"/>
      <c r="M109" s="21"/>
      <c r="N109" s="21"/>
      <c r="O109" s="21"/>
      <c r="P109" s="22"/>
    </row>
    <row r="110" spans="2:16">
      <c r="B110" s="20"/>
      <c r="C110" s="27"/>
      <c r="D110" s="28"/>
      <c r="E110" s="258" t="str">
        <f>_xlfn.IFS(D110=0,"0",D110="TR1",350000000,D110="TR2",550000000,D110="TR3",750000000,D110="TR4",950000000,D110="TR5",1150000000)</f>
        <v>0</v>
      </c>
      <c r="G110" s="21"/>
      <c r="H110" s="21"/>
      <c r="I110" s="21"/>
      <c r="J110" s="21"/>
      <c r="K110" s="21"/>
      <c r="L110" s="21"/>
      <c r="M110" s="21"/>
      <c r="N110" s="21"/>
      <c r="O110" s="21"/>
      <c r="P110" s="22"/>
    </row>
    <row r="111" spans="2:16">
      <c r="B111" s="20"/>
      <c r="C111" s="27"/>
      <c r="D111" s="28"/>
      <c r="E111" s="258" t="str">
        <f>_xlfn.IFS(D111=0,"0",D111="TR1",350000000,D111="TR2",550000000,D111="TR3",750000000,D111="TR4",950000000,D111="TR5",1150000000)</f>
        <v>0</v>
      </c>
      <c r="G111" s="21"/>
      <c r="H111" s="21"/>
      <c r="I111" s="21"/>
      <c r="J111" s="21"/>
      <c r="K111" s="21"/>
      <c r="L111" s="21"/>
      <c r="M111" s="21"/>
      <c r="N111" s="21"/>
      <c r="O111" s="21"/>
      <c r="P111" s="22"/>
    </row>
    <row r="112" spans="2:16">
      <c r="B112" s="20"/>
      <c r="C112" s="27"/>
      <c r="D112" s="28"/>
      <c r="E112" s="258" t="str">
        <f>_xlfn.IFS(D112=0,"0",D112="TR1",350000000,D112="TR2",550000000,D112="TR3",750000000,D112="TR4",950000000,D112="TR5",1150000000)</f>
        <v>0</v>
      </c>
      <c r="G112" s="21"/>
      <c r="H112" s="21"/>
      <c r="I112" s="21"/>
      <c r="J112" s="21"/>
      <c r="K112" s="21"/>
      <c r="L112" s="21"/>
      <c r="M112" s="21"/>
      <c r="N112" s="21"/>
      <c r="O112" s="21"/>
      <c r="P112" s="22"/>
    </row>
    <row r="113" spans="1:29">
      <c r="B113" s="20"/>
      <c r="G113" s="21"/>
      <c r="H113" s="21"/>
      <c r="I113" s="21"/>
      <c r="J113" s="21"/>
      <c r="K113" s="21"/>
      <c r="L113" s="21"/>
      <c r="M113" s="21"/>
      <c r="N113" s="21"/>
      <c r="O113" s="21"/>
      <c r="P113" s="22"/>
    </row>
    <row r="114" spans="1:29" ht="16.5" thickBot="1"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6"/>
    </row>
    <row r="115" spans="1:29">
      <c r="W115" s="2"/>
      <c r="X115" s="2"/>
      <c r="Y115" s="2"/>
      <c r="Z115" s="2"/>
      <c r="AA115" s="2"/>
      <c r="AB115" s="2"/>
      <c r="AC115" s="2"/>
    </row>
    <row r="116" spans="1:29" ht="16.5" thickBot="1">
      <c r="V116" s="2"/>
      <c r="W116" s="2"/>
      <c r="X116" s="2"/>
      <c r="Y116" s="2"/>
      <c r="Z116" s="2"/>
      <c r="AA116" s="2"/>
      <c r="AB116" s="2"/>
      <c r="AC116" s="2"/>
    </row>
    <row r="117" spans="1:29" ht="27" thickBot="1">
      <c r="A117" s="2"/>
      <c r="B117" s="79" t="s">
        <v>111</v>
      </c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1"/>
      <c r="Q117" s="2"/>
      <c r="R117" s="21"/>
      <c r="S117" s="21"/>
      <c r="T117" s="21"/>
      <c r="U117" s="21"/>
      <c r="V117" s="21"/>
      <c r="W117" s="2"/>
    </row>
    <row r="118" spans="1:29" ht="16.5" thickBot="1">
      <c r="A118" s="2"/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O118" s="21"/>
      <c r="P118" s="35"/>
      <c r="Q118" s="2"/>
      <c r="R118" s="21"/>
      <c r="S118" s="21"/>
      <c r="T118" s="21"/>
      <c r="U118" s="21"/>
      <c r="V118" s="21"/>
      <c r="W118" s="2"/>
    </row>
    <row r="119" spans="1:29" ht="21.75" thickBot="1">
      <c r="A119" s="2"/>
      <c r="B119" s="1"/>
      <c r="C119" s="83" t="s">
        <v>44</v>
      </c>
      <c r="D119" s="84"/>
      <c r="E119" s="84"/>
      <c r="F119" s="84"/>
      <c r="G119" s="84"/>
      <c r="H119" s="85"/>
      <c r="J119" s="83" t="s">
        <v>43</v>
      </c>
      <c r="K119" s="84"/>
      <c r="L119" s="84"/>
      <c r="M119" s="84"/>
      <c r="N119" s="84"/>
      <c r="O119" s="85"/>
      <c r="P119" s="3"/>
      <c r="Q119" s="2"/>
      <c r="V119" s="21"/>
      <c r="W119" s="2"/>
    </row>
    <row r="120" spans="1:29">
      <c r="A120" s="2"/>
      <c r="B120" s="1"/>
      <c r="C120" s="33"/>
      <c r="D120" s="34"/>
      <c r="E120" s="34"/>
      <c r="F120" s="34"/>
      <c r="G120" s="34"/>
      <c r="H120" s="35"/>
      <c r="J120" s="33"/>
      <c r="K120" s="34"/>
      <c r="L120" s="34"/>
      <c r="M120" s="34"/>
      <c r="N120" s="34"/>
      <c r="O120" s="35"/>
      <c r="P120" s="3"/>
      <c r="Q120" s="2"/>
      <c r="V120" s="21"/>
      <c r="W120" s="2"/>
    </row>
    <row r="121" spans="1:29">
      <c r="A121" s="2"/>
      <c r="B121" s="1"/>
      <c r="C121" s="10" t="s">
        <v>45</v>
      </c>
      <c r="D121" s="5"/>
      <c r="E121" s="5"/>
      <c r="F121" s="5"/>
      <c r="G121" s="269"/>
      <c r="H121" s="270">
        <f>G122+G124</f>
        <v>0</v>
      </c>
      <c r="J121" s="176" t="s">
        <v>20</v>
      </c>
      <c r="K121" s="177"/>
      <c r="L121" s="177"/>
      <c r="M121" s="177"/>
      <c r="N121" s="277"/>
      <c r="O121" s="278"/>
      <c r="P121" s="3"/>
      <c r="Q121" s="2"/>
      <c r="V121" s="21"/>
      <c r="W121" s="2"/>
    </row>
    <row r="122" spans="1:29">
      <c r="A122" s="2"/>
      <c r="B122" s="1"/>
      <c r="C122" s="1"/>
      <c r="D122" s="2" t="s">
        <v>46</v>
      </c>
      <c r="E122" s="2"/>
      <c r="F122" s="2"/>
      <c r="G122" s="271">
        <v>0</v>
      </c>
      <c r="H122" s="272"/>
      <c r="J122" s="16" t="s">
        <v>238</v>
      </c>
      <c r="K122" s="2"/>
      <c r="L122" s="2"/>
      <c r="M122" s="2"/>
      <c r="N122" s="279"/>
      <c r="O122" s="280"/>
      <c r="P122" s="3"/>
      <c r="Q122" s="2"/>
      <c r="V122" s="21"/>
      <c r="W122" s="2"/>
    </row>
    <row r="123" spans="1:29">
      <c r="A123" s="2"/>
      <c r="B123" s="1"/>
      <c r="C123" s="1"/>
      <c r="D123" s="2" t="s">
        <v>47</v>
      </c>
      <c r="E123" s="2"/>
      <c r="F123" s="2"/>
      <c r="G123" s="271">
        <v>0</v>
      </c>
      <c r="H123" s="272"/>
      <c r="J123" s="1" t="s">
        <v>21</v>
      </c>
      <c r="K123" s="2"/>
      <c r="L123" s="2"/>
      <c r="M123" s="2"/>
      <c r="N123" s="271"/>
      <c r="O123" s="272">
        <f>N187</f>
        <v>4977000000</v>
      </c>
      <c r="P123" s="3"/>
      <c r="Q123" s="2"/>
      <c r="V123" s="21"/>
      <c r="W123" s="2"/>
    </row>
    <row r="124" spans="1:29">
      <c r="A124" s="2"/>
      <c r="B124" s="1"/>
      <c r="C124" s="1"/>
      <c r="D124" s="2" t="s">
        <v>48</v>
      </c>
      <c r="E124" s="2"/>
      <c r="F124" s="2"/>
      <c r="G124" s="271">
        <f>(G122*0.023)</f>
        <v>0</v>
      </c>
      <c r="H124" s="272"/>
      <c r="J124" s="1" t="s">
        <v>196</v>
      </c>
      <c r="K124" s="2"/>
      <c r="L124" s="2"/>
      <c r="M124" s="2"/>
      <c r="N124" s="271"/>
      <c r="O124" s="272">
        <v>0</v>
      </c>
      <c r="P124" s="3"/>
      <c r="Q124" s="2"/>
      <c r="V124" s="21"/>
      <c r="W124" s="2"/>
    </row>
    <row r="125" spans="1:29">
      <c r="A125" s="2"/>
      <c r="B125" s="1"/>
      <c r="C125" s="10" t="s">
        <v>49</v>
      </c>
      <c r="D125" s="5"/>
      <c r="E125" s="5"/>
      <c r="F125" s="5"/>
      <c r="G125" s="269"/>
      <c r="H125" s="270">
        <f>H121-G123</f>
        <v>0</v>
      </c>
      <c r="J125" s="1" t="s">
        <v>22</v>
      </c>
      <c r="K125" s="2"/>
      <c r="L125" s="2"/>
      <c r="M125" s="2"/>
      <c r="N125" s="271"/>
      <c r="O125" s="272">
        <v>0</v>
      </c>
      <c r="P125" s="3"/>
      <c r="Q125" s="2"/>
      <c r="V125" s="21"/>
      <c r="W125" s="2"/>
    </row>
    <row r="126" spans="1:29">
      <c r="A126" s="2"/>
      <c r="B126" s="1"/>
      <c r="C126" s="1"/>
      <c r="D126" s="2"/>
      <c r="E126" s="2"/>
      <c r="F126" s="2"/>
      <c r="G126" s="271"/>
      <c r="H126" s="272"/>
      <c r="J126" s="1" t="s">
        <v>23</v>
      </c>
      <c r="K126" s="2"/>
      <c r="L126" s="2"/>
      <c r="M126" s="2"/>
      <c r="N126" s="271"/>
      <c r="O126" s="272">
        <f>SUM(N127:N128)</f>
        <v>0</v>
      </c>
      <c r="P126" s="3"/>
      <c r="Q126" s="2"/>
      <c r="V126" s="21"/>
      <c r="W126" s="2"/>
    </row>
    <row r="127" spans="1:29">
      <c r="A127" s="2"/>
      <c r="B127" s="1"/>
      <c r="C127" s="74" t="s">
        <v>50</v>
      </c>
      <c r="D127" s="69"/>
      <c r="E127" s="69"/>
      <c r="F127" s="69"/>
      <c r="G127" s="273"/>
      <c r="H127" s="266">
        <f>SUM(G128:G131)</f>
        <v>0</v>
      </c>
      <c r="J127" s="1"/>
      <c r="K127" s="2" t="s">
        <v>24</v>
      </c>
      <c r="L127" s="2"/>
      <c r="M127" s="2"/>
      <c r="N127" s="271">
        <v>0</v>
      </c>
      <c r="O127" s="272"/>
      <c r="P127" s="3"/>
      <c r="Q127" s="2"/>
      <c r="V127" s="21"/>
      <c r="W127" s="2"/>
    </row>
    <row r="128" spans="1:29">
      <c r="A128" s="2"/>
      <c r="B128" s="1"/>
      <c r="C128" s="1"/>
      <c r="D128" s="2" t="s">
        <v>209</v>
      </c>
      <c r="E128" s="2"/>
      <c r="F128" s="2"/>
      <c r="G128" s="271">
        <v>0</v>
      </c>
      <c r="H128" s="272"/>
      <c r="J128" s="1"/>
      <c r="K128" s="2" t="s">
        <v>25</v>
      </c>
      <c r="L128" s="2"/>
      <c r="M128" s="2"/>
      <c r="N128" s="271">
        <v>0</v>
      </c>
      <c r="O128" s="272"/>
      <c r="P128" s="3"/>
      <c r="Q128" s="2"/>
      <c r="V128" s="21"/>
      <c r="W128" s="2"/>
    </row>
    <row r="129" spans="1:23">
      <c r="A129" s="2"/>
      <c r="B129" s="1"/>
      <c r="C129" s="1"/>
      <c r="D129" s="2" t="s">
        <v>52</v>
      </c>
      <c r="E129" s="2"/>
      <c r="F129" s="2"/>
      <c r="G129" s="271">
        <f>G123*0.6</f>
        <v>0</v>
      </c>
      <c r="H129" s="272"/>
      <c r="J129" s="68" t="s">
        <v>239</v>
      </c>
      <c r="K129" s="69"/>
      <c r="L129" s="69"/>
      <c r="M129" s="69"/>
      <c r="N129" s="273"/>
      <c r="O129" s="266">
        <f>SUM(O123:O126)</f>
        <v>4977000000</v>
      </c>
      <c r="P129" s="3"/>
      <c r="Q129" s="2"/>
      <c r="V129" s="21"/>
      <c r="W129" s="2"/>
    </row>
    <row r="130" spans="1:23">
      <c r="A130" s="2"/>
      <c r="B130" s="1"/>
      <c r="C130" s="1"/>
      <c r="D130" s="2" t="s">
        <v>53</v>
      </c>
      <c r="E130" s="2"/>
      <c r="F130" s="2"/>
      <c r="G130" s="274">
        <v>0</v>
      </c>
      <c r="H130" s="272"/>
      <c r="J130" s="16" t="s">
        <v>241</v>
      </c>
      <c r="K130" s="2"/>
      <c r="L130" s="2"/>
      <c r="M130" s="2"/>
      <c r="N130" s="271"/>
      <c r="O130" s="272"/>
      <c r="P130" s="3"/>
      <c r="Q130" s="2"/>
      <c r="V130" s="21"/>
      <c r="W130" s="2"/>
    </row>
    <row r="131" spans="1:23">
      <c r="A131" s="2"/>
      <c r="B131" s="1"/>
      <c r="C131" s="1"/>
      <c r="D131" s="2" t="s">
        <v>54</v>
      </c>
      <c r="E131" s="2"/>
      <c r="F131" s="2"/>
      <c r="G131" s="274">
        <v>0</v>
      </c>
      <c r="H131" s="272"/>
      <c r="J131" s="1" t="s">
        <v>26</v>
      </c>
      <c r="K131" s="2"/>
      <c r="L131" s="2"/>
      <c r="M131" s="2"/>
      <c r="N131" s="271"/>
      <c r="O131" s="272">
        <v>0</v>
      </c>
      <c r="P131" s="3"/>
      <c r="Q131" s="2"/>
      <c r="V131" s="21"/>
      <c r="W131" s="2"/>
    </row>
    <row r="132" spans="1:23">
      <c r="A132" s="2"/>
      <c r="B132" s="1"/>
      <c r="C132" s="10" t="s">
        <v>56</v>
      </c>
      <c r="D132" s="5"/>
      <c r="E132" s="5"/>
      <c r="F132" s="5"/>
      <c r="G132" s="269"/>
      <c r="H132" s="270">
        <f>H125-H127</f>
        <v>0</v>
      </c>
      <c r="J132" s="1" t="s">
        <v>27</v>
      </c>
      <c r="K132" s="2"/>
      <c r="L132" s="2"/>
      <c r="M132" s="2"/>
      <c r="N132" s="271"/>
      <c r="O132" s="272">
        <v>0</v>
      </c>
      <c r="P132" s="3"/>
      <c r="Q132" s="2"/>
      <c r="V132" s="21"/>
      <c r="W132" s="2"/>
    </row>
    <row r="133" spans="1:23">
      <c r="A133" s="2"/>
      <c r="B133" s="1"/>
      <c r="C133" s="1"/>
      <c r="D133" s="2"/>
      <c r="E133" s="2"/>
      <c r="F133" s="2"/>
      <c r="G133" s="271"/>
      <c r="H133" s="272"/>
      <c r="J133" s="1" t="s">
        <v>28</v>
      </c>
      <c r="K133" s="2"/>
      <c r="L133" s="2"/>
      <c r="M133" s="2"/>
      <c r="N133" s="271"/>
      <c r="O133" s="272">
        <f>'Año 1'!S70+'Año 2'!H22+'Año 2'!G55+'Año 2'!G68+'Año 2'!G81</f>
        <v>0</v>
      </c>
      <c r="P133" s="3"/>
      <c r="Q133" s="2"/>
      <c r="V133" s="21"/>
      <c r="W133" s="2"/>
    </row>
    <row r="134" spans="1:23">
      <c r="A134" s="2"/>
      <c r="B134" s="1"/>
      <c r="C134" s="74" t="s">
        <v>29</v>
      </c>
      <c r="D134" s="69"/>
      <c r="E134" s="69"/>
      <c r="F134" s="69"/>
      <c r="G134" s="273"/>
      <c r="H134" s="266">
        <f>SUM(G135:G137)</f>
        <v>0</v>
      </c>
      <c r="J134" s="1" t="s">
        <v>29</v>
      </c>
      <c r="K134" s="2"/>
      <c r="L134" s="2"/>
      <c r="M134" s="2"/>
      <c r="N134" s="271"/>
      <c r="O134" s="272">
        <f>-SUM(N135:N137)</f>
        <v>0</v>
      </c>
      <c r="P134" s="3"/>
      <c r="Q134" s="2"/>
      <c r="V134" s="21"/>
      <c r="W134" s="2"/>
    </row>
    <row r="135" spans="1:23">
      <c r="A135" s="2"/>
      <c r="B135" s="1"/>
      <c r="C135" s="1"/>
      <c r="D135" s="2" t="s">
        <v>26</v>
      </c>
      <c r="E135" s="2"/>
      <c r="F135" s="2"/>
      <c r="G135" s="271">
        <v>0</v>
      </c>
      <c r="H135" s="272"/>
      <c r="J135" s="1"/>
      <c r="K135" s="2" t="s">
        <v>26</v>
      </c>
      <c r="L135" s="2"/>
      <c r="M135" s="2"/>
      <c r="N135" s="271">
        <v>0</v>
      </c>
      <c r="O135" s="272"/>
      <c r="P135" s="3"/>
      <c r="Q135" s="2"/>
      <c r="V135" s="21"/>
      <c r="W135" s="2"/>
    </row>
    <row r="136" spans="1:23">
      <c r="A136" s="2"/>
      <c r="B136" s="1"/>
      <c r="C136" s="1"/>
      <c r="D136" s="2" t="s">
        <v>27</v>
      </c>
      <c r="E136" s="2"/>
      <c r="F136" s="2"/>
      <c r="G136" s="271">
        <v>0</v>
      </c>
      <c r="H136" s="272"/>
      <c r="J136" s="1"/>
      <c r="K136" s="2" t="s">
        <v>27</v>
      </c>
      <c r="L136" s="2"/>
      <c r="M136" s="2"/>
      <c r="N136" s="271">
        <v>0</v>
      </c>
      <c r="O136" s="272"/>
      <c r="P136" s="3"/>
      <c r="Q136" s="2"/>
      <c r="V136" s="21"/>
      <c r="W136" s="2"/>
    </row>
    <row r="137" spans="1:23">
      <c r="A137" s="2"/>
      <c r="B137" s="1"/>
      <c r="C137" s="1"/>
      <c r="D137" s="2" t="s">
        <v>28</v>
      </c>
      <c r="E137" s="2"/>
      <c r="F137" s="2"/>
      <c r="G137" s="271">
        <v>0</v>
      </c>
      <c r="H137" s="272"/>
      <c r="J137" s="1"/>
      <c r="K137" s="2" t="s">
        <v>28</v>
      </c>
      <c r="L137" s="2"/>
      <c r="M137" s="2"/>
      <c r="N137" s="271">
        <v>0</v>
      </c>
      <c r="O137" s="272"/>
      <c r="P137" s="3"/>
      <c r="Q137" s="2"/>
      <c r="V137" s="21"/>
      <c r="W137" s="2"/>
    </row>
    <row r="138" spans="1:23">
      <c r="A138" s="2"/>
      <c r="B138" s="1"/>
      <c r="C138" s="74" t="s">
        <v>55</v>
      </c>
      <c r="D138" s="69"/>
      <c r="E138" s="69"/>
      <c r="F138" s="69"/>
      <c r="G138" s="273"/>
      <c r="H138" s="266">
        <f>SUM(G139:G146)</f>
        <v>14000000</v>
      </c>
      <c r="J138" s="1" t="s">
        <v>30</v>
      </c>
      <c r="K138" s="2"/>
      <c r="L138" s="2"/>
      <c r="M138" s="2"/>
      <c r="N138" s="271"/>
      <c r="O138" s="272">
        <f>IF(G162&gt;0,G162+'Año 1'!S75,0)</f>
        <v>6900000</v>
      </c>
      <c r="P138" s="3"/>
      <c r="Q138" s="2"/>
      <c r="V138" s="21"/>
      <c r="W138" s="2"/>
    </row>
    <row r="139" spans="1:23">
      <c r="A139" s="2"/>
      <c r="B139" s="1"/>
      <c r="C139" s="1"/>
      <c r="D139" s="2" t="s">
        <v>57</v>
      </c>
      <c r="E139" s="2"/>
      <c r="F139" s="2"/>
      <c r="G139" s="274">
        <v>14000000</v>
      </c>
      <c r="H139" s="272"/>
      <c r="J139" s="68" t="s">
        <v>240</v>
      </c>
      <c r="K139" s="69"/>
      <c r="L139" s="69"/>
      <c r="M139" s="69"/>
      <c r="N139" s="273"/>
      <c r="O139" s="266">
        <f>SUM(O131:O138)</f>
        <v>6900000</v>
      </c>
      <c r="P139" s="3"/>
      <c r="Q139" s="2"/>
      <c r="V139" s="21"/>
      <c r="W139" s="2"/>
    </row>
    <row r="140" spans="1:23">
      <c r="A140" s="2"/>
      <c r="B140" s="1"/>
      <c r="C140" s="1"/>
      <c r="D140" s="2" t="s">
        <v>58</v>
      </c>
      <c r="E140" s="2"/>
      <c r="F140" s="2"/>
      <c r="G140" s="274">
        <v>0</v>
      </c>
      <c r="H140" s="272"/>
      <c r="J140" s="71" t="s">
        <v>31</v>
      </c>
      <c r="K140" s="72"/>
      <c r="L140" s="72"/>
      <c r="M140" s="72"/>
      <c r="N140" s="281"/>
      <c r="O140" s="282">
        <f>O129+O139</f>
        <v>4983900000</v>
      </c>
      <c r="P140" s="3"/>
      <c r="Q140" s="2"/>
      <c r="V140" s="21"/>
      <c r="W140" s="2"/>
    </row>
    <row r="141" spans="1:23">
      <c r="A141" s="2"/>
      <c r="B141" s="1"/>
      <c r="C141" s="1"/>
      <c r="D141" s="2" t="s">
        <v>212</v>
      </c>
      <c r="E141" s="2"/>
      <c r="F141" s="2"/>
      <c r="G141" s="274">
        <v>0</v>
      </c>
      <c r="H141" s="272"/>
      <c r="J141" s="1"/>
      <c r="K141" s="2"/>
      <c r="L141" s="2"/>
      <c r="M141" s="2"/>
      <c r="N141" s="271"/>
      <c r="O141" s="272"/>
      <c r="P141" s="3"/>
      <c r="Q141" s="2"/>
      <c r="V141" s="21"/>
      <c r="W141" s="2"/>
    </row>
    <row r="142" spans="1:23">
      <c r="A142" s="2"/>
      <c r="B142" s="1"/>
      <c r="C142" s="1"/>
      <c r="D142" s="2" t="s">
        <v>213</v>
      </c>
      <c r="E142" s="2"/>
      <c r="F142" s="2"/>
      <c r="G142" s="274">
        <v>0</v>
      </c>
      <c r="H142" s="272"/>
      <c r="J142" s="176" t="s">
        <v>32</v>
      </c>
      <c r="K142" s="177"/>
      <c r="L142" s="177"/>
      <c r="M142" s="177"/>
      <c r="N142" s="283"/>
      <c r="O142" s="268"/>
      <c r="P142" s="3"/>
      <c r="Q142" s="2"/>
      <c r="V142" s="21"/>
      <c r="W142" s="2"/>
    </row>
    <row r="143" spans="1:23">
      <c r="A143" s="2"/>
      <c r="B143" s="1"/>
      <c r="C143" s="1"/>
      <c r="D143" s="2" t="s">
        <v>215</v>
      </c>
      <c r="E143" s="2"/>
      <c r="F143" s="2"/>
      <c r="G143" s="274">
        <v>0</v>
      </c>
      <c r="H143" s="272"/>
      <c r="J143" s="16" t="s">
        <v>246</v>
      </c>
      <c r="K143" s="2"/>
      <c r="L143" s="2"/>
      <c r="M143" s="2"/>
      <c r="N143" s="271"/>
      <c r="O143" s="272"/>
      <c r="P143" s="3"/>
      <c r="Q143" s="2"/>
      <c r="V143" s="21"/>
      <c r="W143" s="2"/>
    </row>
    <row r="144" spans="1:23">
      <c r="A144" s="2"/>
      <c r="B144" s="1"/>
      <c r="C144" s="1"/>
      <c r="D144" s="2" t="s">
        <v>214</v>
      </c>
      <c r="E144" s="2"/>
      <c r="F144" s="2"/>
      <c r="G144" s="274">
        <v>0</v>
      </c>
      <c r="H144" s="272"/>
      <c r="J144" s="1" t="s">
        <v>33</v>
      </c>
      <c r="K144" s="2"/>
      <c r="L144" s="2"/>
      <c r="M144" s="2"/>
      <c r="N144" s="271"/>
      <c r="O144" s="272">
        <v>0</v>
      </c>
      <c r="P144" s="3"/>
      <c r="Q144" s="2"/>
      <c r="V144" s="21"/>
      <c r="W144" s="2"/>
    </row>
    <row r="145" spans="1:23">
      <c r="A145" s="2"/>
      <c r="B145" s="1"/>
      <c r="C145" s="1"/>
      <c r="D145" s="2" t="s">
        <v>259</v>
      </c>
      <c r="E145" s="2"/>
      <c r="F145" s="2"/>
      <c r="G145" s="274">
        <v>0</v>
      </c>
      <c r="H145" s="272"/>
      <c r="J145" s="1" t="s">
        <v>42</v>
      </c>
      <c r="K145" s="2"/>
      <c r="L145" s="2"/>
      <c r="M145" s="2"/>
      <c r="N145" s="271"/>
      <c r="O145" s="272">
        <v>0</v>
      </c>
      <c r="P145" s="3"/>
      <c r="Q145" s="2"/>
      <c r="V145" s="21"/>
      <c r="W145" s="2"/>
    </row>
    <row r="146" spans="1:23">
      <c r="A146" s="2"/>
      <c r="B146" s="1"/>
      <c r="C146" s="1"/>
      <c r="D146" s="2" t="s">
        <v>245</v>
      </c>
      <c r="E146" s="2"/>
      <c r="F146" s="2"/>
      <c r="G146" s="274">
        <v>0</v>
      </c>
      <c r="H146" s="272"/>
      <c r="J146" s="1" t="s">
        <v>34</v>
      </c>
      <c r="K146" s="2"/>
      <c r="L146" s="2"/>
      <c r="M146" s="2"/>
      <c r="N146" s="271"/>
      <c r="O146" s="272">
        <v>0</v>
      </c>
      <c r="P146" s="3"/>
      <c r="Q146" s="2"/>
      <c r="V146" s="21"/>
      <c r="W146" s="2"/>
    </row>
    <row r="147" spans="1:23">
      <c r="A147" s="2"/>
      <c r="B147" s="1"/>
      <c r="C147" s="10" t="s">
        <v>62</v>
      </c>
      <c r="D147" s="5"/>
      <c r="E147" s="5"/>
      <c r="F147" s="5"/>
      <c r="G147" s="269"/>
      <c r="H147" s="270">
        <f>H132-H134-H138</f>
        <v>-14000000</v>
      </c>
      <c r="J147" s="1" t="s">
        <v>35</v>
      </c>
      <c r="K147" s="2"/>
      <c r="L147" s="2"/>
      <c r="M147" s="2"/>
      <c r="N147" s="271"/>
      <c r="O147" s="272">
        <f>IF(G172&lt;0,G172,0)</f>
        <v>0</v>
      </c>
      <c r="P147" s="3"/>
      <c r="Q147" s="2"/>
      <c r="V147" s="21"/>
      <c r="W147" s="2"/>
    </row>
    <row r="148" spans="1:23">
      <c r="A148" s="2"/>
      <c r="B148" s="1"/>
      <c r="C148" s="1"/>
      <c r="D148" s="2"/>
      <c r="E148" s="2"/>
      <c r="F148" s="2"/>
      <c r="G148" s="271"/>
      <c r="H148" s="272"/>
      <c r="J148" s="68" t="s">
        <v>242</v>
      </c>
      <c r="K148" s="69"/>
      <c r="L148" s="69"/>
      <c r="M148" s="69"/>
      <c r="N148" s="273"/>
      <c r="O148" s="266">
        <f>SUM(O144:O147)</f>
        <v>0</v>
      </c>
      <c r="P148" s="3"/>
      <c r="Q148" s="2"/>
      <c r="V148" s="21"/>
      <c r="W148" s="2"/>
    </row>
    <row r="149" spans="1:23">
      <c r="A149" s="2"/>
      <c r="B149" s="1"/>
      <c r="C149" s="74" t="s">
        <v>63</v>
      </c>
      <c r="D149" s="69"/>
      <c r="E149" s="69"/>
      <c r="F149" s="69"/>
      <c r="G149" s="273"/>
      <c r="H149" s="266">
        <f>G150+G151+G152-G153-G154-G155-G156-G157</f>
        <v>0</v>
      </c>
      <c r="J149" s="16" t="s">
        <v>247</v>
      </c>
      <c r="K149" s="2"/>
      <c r="L149" s="2"/>
      <c r="M149" s="2"/>
      <c r="N149" s="271"/>
      <c r="O149" s="272"/>
      <c r="P149" s="3"/>
      <c r="Q149" s="2"/>
      <c r="V149" s="21"/>
      <c r="W149" s="2"/>
    </row>
    <row r="150" spans="1:23">
      <c r="A150" s="2"/>
      <c r="B150" s="1"/>
      <c r="C150" s="1"/>
      <c r="D150" s="2" t="s">
        <v>64</v>
      </c>
      <c r="E150" s="2"/>
      <c r="F150" s="2"/>
      <c r="G150" s="274">
        <v>0</v>
      </c>
      <c r="H150" s="272"/>
      <c r="J150" s="1" t="s">
        <v>36</v>
      </c>
      <c r="K150" s="2"/>
      <c r="L150" s="2"/>
      <c r="M150" s="2"/>
      <c r="N150" s="271"/>
      <c r="O150" s="272">
        <v>0</v>
      </c>
      <c r="P150" s="3"/>
      <c r="Q150" s="2"/>
      <c r="V150" s="21"/>
      <c r="W150" s="2"/>
    </row>
    <row r="151" spans="1:23">
      <c r="A151" s="2"/>
      <c r="B151" s="1"/>
      <c r="C151" s="1"/>
      <c r="D151" s="2" t="s">
        <v>65</v>
      </c>
      <c r="E151" s="2"/>
      <c r="F151" s="2"/>
      <c r="G151" s="274">
        <v>0</v>
      </c>
      <c r="H151" s="272"/>
      <c r="J151" s="68" t="s">
        <v>243</v>
      </c>
      <c r="K151" s="69"/>
      <c r="L151" s="69"/>
      <c r="M151" s="69"/>
      <c r="N151" s="273"/>
      <c r="O151" s="266">
        <f>SUM(O150)</f>
        <v>0</v>
      </c>
      <c r="P151" s="3"/>
      <c r="Q151" s="2"/>
      <c r="V151" s="21"/>
      <c r="W151" s="2"/>
    </row>
    <row r="152" spans="1:23">
      <c r="A152" s="2"/>
      <c r="B152" s="1"/>
      <c r="C152" s="1"/>
      <c r="D152" s="2" t="s">
        <v>66</v>
      </c>
      <c r="E152" s="2"/>
      <c r="F152" s="2"/>
      <c r="G152" s="274">
        <v>0</v>
      </c>
      <c r="H152" s="272"/>
      <c r="J152" s="71" t="s">
        <v>37</v>
      </c>
      <c r="K152" s="72"/>
      <c r="L152" s="72"/>
      <c r="M152" s="72"/>
      <c r="N152" s="281"/>
      <c r="O152" s="282">
        <f>O148+O151</f>
        <v>0</v>
      </c>
      <c r="P152" s="3"/>
      <c r="Q152" s="2"/>
      <c r="V152" s="21"/>
      <c r="W152" s="2"/>
    </row>
    <row r="153" spans="1:23">
      <c r="A153" s="2"/>
      <c r="B153" s="1"/>
      <c r="C153" s="1"/>
      <c r="D153" s="2" t="s">
        <v>67</v>
      </c>
      <c r="E153" s="2"/>
      <c r="F153" s="2"/>
      <c r="G153" s="274">
        <v>0</v>
      </c>
      <c r="H153" s="272"/>
      <c r="J153" s="1"/>
      <c r="K153" s="2"/>
      <c r="L153" s="2"/>
      <c r="M153" s="2"/>
      <c r="N153" s="271"/>
      <c r="O153" s="272"/>
      <c r="P153" s="3"/>
      <c r="Q153" s="2"/>
      <c r="V153" s="21"/>
      <c r="W153" s="2"/>
    </row>
    <row r="154" spans="1:23">
      <c r="A154" s="2"/>
      <c r="B154" s="1"/>
      <c r="C154" s="1"/>
      <c r="D154" s="2" t="s">
        <v>260</v>
      </c>
      <c r="G154" s="274">
        <v>0</v>
      </c>
      <c r="H154" s="272"/>
      <c r="J154" s="176" t="s">
        <v>38</v>
      </c>
      <c r="K154" s="177"/>
      <c r="L154" s="177"/>
      <c r="M154" s="177"/>
      <c r="N154" s="283"/>
      <c r="O154" s="268"/>
      <c r="P154" s="3"/>
      <c r="Q154" s="2"/>
      <c r="V154" s="21"/>
      <c r="W154" s="2"/>
    </row>
    <row r="155" spans="1:23">
      <c r="A155" s="2"/>
      <c r="B155" s="1"/>
      <c r="C155" s="1"/>
      <c r="D155" s="2" t="s">
        <v>68</v>
      </c>
      <c r="E155" s="2"/>
      <c r="F155" s="2"/>
      <c r="G155" s="274">
        <v>0</v>
      </c>
      <c r="H155" s="272"/>
      <c r="J155" s="1" t="s">
        <v>39</v>
      </c>
      <c r="K155" s="2"/>
      <c r="L155" s="2"/>
      <c r="M155" s="2"/>
      <c r="N155" s="271"/>
      <c r="O155" s="272">
        <v>5000000000</v>
      </c>
      <c r="P155" s="3"/>
      <c r="Q155" s="2"/>
      <c r="V155" s="21"/>
      <c r="W155" s="2"/>
    </row>
    <row r="156" spans="1:23">
      <c r="A156" s="2"/>
      <c r="B156" s="1"/>
      <c r="C156" s="1"/>
      <c r="D156" s="2" t="s">
        <v>69</v>
      </c>
      <c r="E156" s="2"/>
      <c r="F156" s="2"/>
      <c r="G156" s="274">
        <v>0</v>
      </c>
      <c r="H156" s="272"/>
      <c r="J156" s="1" t="s">
        <v>40</v>
      </c>
      <c r="K156" s="2"/>
      <c r="L156" s="2"/>
      <c r="M156" s="2"/>
      <c r="N156" s="271"/>
      <c r="O156" s="272">
        <f>'Año 1'!S94</f>
        <v>-6300000</v>
      </c>
      <c r="P156" s="3"/>
      <c r="Q156" s="2"/>
      <c r="V156" s="21"/>
      <c r="W156" s="2"/>
    </row>
    <row r="157" spans="1:23">
      <c r="A157" s="2"/>
      <c r="B157" s="1"/>
      <c r="C157" s="1"/>
      <c r="D157" s="2" t="s">
        <v>70</v>
      </c>
      <c r="E157" s="2"/>
      <c r="F157" s="2"/>
      <c r="G157" s="274">
        <v>0</v>
      </c>
      <c r="H157" s="272"/>
      <c r="J157" s="1" t="s">
        <v>262</v>
      </c>
      <c r="K157" s="2"/>
      <c r="L157" s="2"/>
      <c r="M157" s="2"/>
      <c r="N157" s="271"/>
      <c r="O157" s="272">
        <f>H163</f>
        <v>-9800000</v>
      </c>
      <c r="P157" s="3"/>
      <c r="Q157" s="2"/>
      <c r="V157" s="21"/>
      <c r="W157" s="2"/>
    </row>
    <row r="158" spans="1:23">
      <c r="A158" s="2"/>
      <c r="B158" s="1"/>
      <c r="C158" s="74" t="s">
        <v>71</v>
      </c>
      <c r="D158" s="69"/>
      <c r="E158" s="69"/>
      <c r="F158" s="69"/>
      <c r="G158" s="273"/>
      <c r="H158" s="266">
        <f>G159-G160</f>
        <v>0</v>
      </c>
      <c r="J158" s="71" t="s">
        <v>41</v>
      </c>
      <c r="K158" s="72"/>
      <c r="L158" s="72"/>
      <c r="M158" s="72"/>
      <c r="N158" s="281"/>
      <c r="O158" s="282">
        <f>SUM(O155:O157)</f>
        <v>4983900000</v>
      </c>
      <c r="P158" s="3"/>
      <c r="Q158" s="2"/>
      <c r="V158" s="21"/>
      <c r="W158" s="2"/>
    </row>
    <row r="159" spans="1:23" ht="16.5" thickBot="1">
      <c r="A159" s="2"/>
      <c r="B159" s="1"/>
      <c r="C159" s="1"/>
      <c r="D159" s="2" t="s">
        <v>72</v>
      </c>
      <c r="E159" s="2"/>
      <c r="F159" s="2"/>
      <c r="G159" s="274">
        <v>0</v>
      </c>
      <c r="H159" s="272"/>
      <c r="J159" s="8"/>
      <c r="K159" s="9"/>
      <c r="L159" s="9"/>
      <c r="M159" s="9"/>
      <c r="N159" s="9"/>
      <c r="O159" s="39"/>
      <c r="P159" s="3"/>
      <c r="Q159" s="2"/>
      <c r="V159" s="21"/>
      <c r="W159" s="2"/>
    </row>
    <row r="160" spans="1:23">
      <c r="A160" s="2"/>
      <c r="B160" s="1"/>
      <c r="C160" s="1"/>
      <c r="D160" s="2" t="s">
        <v>73</v>
      </c>
      <c r="E160" s="2"/>
      <c r="F160" s="2"/>
      <c r="G160" s="274">
        <v>0</v>
      </c>
      <c r="H160" s="272"/>
      <c r="O160" s="21"/>
      <c r="P160" s="3"/>
      <c r="Q160" s="2"/>
      <c r="V160" s="21"/>
      <c r="W160" s="2"/>
    </row>
    <row r="161" spans="1:24" ht="16.5" thickBot="1">
      <c r="A161" s="2"/>
      <c r="B161" s="1"/>
      <c r="C161" s="10" t="s">
        <v>75</v>
      </c>
      <c r="D161" s="5"/>
      <c r="E161" s="5"/>
      <c r="F161" s="5"/>
      <c r="G161" s="269"/>
      <c r="H161" s="270">
        <f>H147+H149+H158</f>
        <v>-14000000</v>
      </c>
      <c r="O161" s="21"/>
      <c r="P161" s="3"/>
      <c r="Q161" s="2"/>
      <c r="V161" s="21"/>
      <c r="W161" s="2"/>
    </row>
    <row r="162" spans="1:24" ht="21.75" thickBot="1">
      <c r="A162" s="2"/>
      <c r="B162" s="1"/>
      <c r="C162" s="1" t="s">
        <v>74</v>
      </c>
      <c r="D162" s="2"/>
      <c r="E162" s="2"/>
      <c r="F162" s="2"/>
      <c r="G162" s="271">
        <f>-H161*0.3</f>
        <v>4200000</v>
      </c>
      <c r="H162" s="272"/>
      <c r="J162" s="121" t="s">
        <v>77</v>
      </c>
      <c r="K162" s="120"/>
      <c r="L162" s="109"/>
      <c r="M162" s="109"/>
      <c r="N162" s="109"/>
      <c r="O162" s="110"/>
      <c r="P162" s="3"/>
      <c r="Q162" s="2"/>
      <c r="V162" s="21"/>
      <c r="W162" s="2"/>
    </row>
    <row r="163" spans="1:24" ht="16.5" thickBot="1">
      <c r="A163" s="2"/>
      <c r="B163" s="1"/>
      <c r="C163" s="11" t="s">
        <v>76</v>
      </c>
      <c r="D163" s="12"/>
      <c r="E163" s="12"/>
      <c r="F163" s="12"/>
      <c r="G163" s="275"/>
      <c r="H163" s="276">
        <f>H161+G162</f>
        <v>-9800000</v>
      </c>
      <c r="J163" s="33"/>
      <c r="K163" s="34"/>
      <c r="L163" s="34"/>
      <c r="M163" s="34"/>
      <c r="N163" s="34"/>
      <c r="O163" s="35"/>
      <c r="P163" s="3"/>
      <c r="Q163" s="2"/>
      <c r="V163" s="21"/>
      <c r="W163" s="2"/>
    </row>
    <row r="164" spans="1:24">
      <c r="A164" s="2"/>
      <c r="B164" s="1"/>
      <c r="J164" s="1"/>
      <c r="K164" s="2"/>
      <c r="L164" s="2"/>
      <c r="M164" s="2"/>
      <c r="N164" s="62" t="s">
        <v>201</v>
      </c>
      <c r="O164" s="13" t="s">
        <v>91</v>
      </c>
      <c r="P164" s="3"/>
      <c r="Q164" s="2"/>
      <c r="V164" s="21"/>
      <c r="W164" s="2"/>
    </row>
    <row r="165" spans="1:24">
      <c r="A165" s="2"/>
      <c r="B165" s="1"/>
      <c r="C165" s="2"/>
      <c r="D165" s="2"/>
      <c r="E165" s="2"/>
      <c r="F165" s="2"/>
      <c r="G165" s="2"/>
      <c r="H165" s="2"/>
      <c r="J165" s="14" t="s">
        <v>78</v>
      </c>
      <c r="K165" s="6"/>
      <c r="L165" s="6"/>
      <c r="M165" s="6"/>
      <c r="N165" s="6"/>
      <c r="O165" s="15"/>
      <c r="P165" s="3"/>
      <c r="Q165" s="2"/>
      <c r="V165" s="21"/>
      <c r="W165" s="2"/>
    </row>
    <row r="166" spans="1:24">
      <c r="A166" s="2"/>
      <c r="B166" s="1"/>
      <c r="C166" s="2"/>
      <c r="D166" s="2"/>
      <c r="E166" s="2"/>
      <c r="F166" s="2"/>
      <c r="G166" s="2"/>
      <c r="H166" s="2"/>
      <c r="J166" s="1" t="s">
        <v>79</v>
      </c>
      <c r="K166" s="2"/>
      <c r="L166" s="2"/>
      <c r="M166" s="2"/>
      <c r="N166" s="271">
        <f>G122+G124</f>
        <v>0</v>
      </c>
      <c r="O166" s="272">
        <f>'Año 1'!S103</f>
        <v>0</v>
      </c>
      <c r="P166" s="3"/>
      <c r="Q166" s="2"/>
      <c r="V166" s="21"/>
      <c r="W166" s="2"/>
    </row>
    <row r="167" spans="1:24">
      <c r="A167" s="2"/>
      <c r="B167" s="1"/>
      <c r="C167" s="2"/>
      <c r="D167" s="2"/>
      <c r="E167" s="2"/>
      <c r="F167" s="2"/>
      <c r="G167" s="2"/>
      <c r="H167" s="2"/>
      <c r="J167" s="1" t="s">
        <v>80</v>
      </c>
      <c r="K167" s="2"/>
      <c r="L167" s="2"/>
      <c r="M167" s="2"/>
      <c r="N167" s="271">
        <f>-G139</f>
        <v>-14000000</v>
      </c>
      <c r="O167" s="272">
        <f>'Año 1'!S104</f>
        <v>-9000000</v>
      </c>
      <c r="P167" s="3"/>
      <c r="Q167" s="2"/>
      <c r="V167" s="21"/>
      <c r="W167" s="2"/>
    </row>
    <row r="168" spans="1:24">
      <c r="A168" s="2"/>
      <c r="B168" s="20"/>
      <c r="C168" s="2"/>
      <c r="D168" s="2"/>
      <c r="E168" s="2"/>
      <c r="F168" s="2"/>
      <c r="G168" s="2"/>
      <c r="H168" s="2"/>
      <c r="J168" s="1" t="s">
        <v>261</v>
      </c>
      <c r="K168" s="2"/>
      <c r="M168" s="2"/>
      <c r="N168" s="271">
        <v>0</v>
      </c>
      <c r="O168" s="272">
        <f>'Año 1'!S105</f>
        <v>0</v>
      </c>
      <c r="P168" s="37"/>
      <c r="X168" s="2"/>
    </row>
    <row r="169" spans="1:24">
      <c r="A169" s="2"/>
      <c r="B169" s="1"/>
      <c r="C169" s="2"/>
      <c r="D169" s="2"/>
      <c r="E169" s="2"/>
      <c r="F169" s="2"/>
      <c r="G169" s="2"/>
      <c r="H169" s="2"/>
      <c r="J169" s="1" t="s">
        <v>81</v>
      </c>
      <c r="K169" s="2"/>
      <c r="L169" s="2"/>
      <c r="M169" s="2"/>
      <c r="N169" s="271">
        <v>0</v>
      </c>
      <c r="O169" s="272">
        <f>'Año 1'!S106</f>
        <v>0</v>
      </c>
      <c r="P169" s="3"/>
      <c r="Q169" s="2"/>
      <c r="V169" s="21"/>
      <c r="W169" s="2"/>
    </row>
    <row r="170" spans="1:24">
      <c r="A170" s="2"/>
      <c r="B170" s="1"/>
      <c r="C170" s="2"/>
      <c r="D170" s="2"/>
      <c r="E170" s="2"/>
      <c r="F170" s="2"/>
      <c r="G170" s="2"/>
      <c r="H170" s="2"/>
      <c r="J170" s="1" t="s">
        <v>82</v>
      </c>
      <c r="K170" s="2"/>
      <c r="L170" s="2"/>
      <c r="M170" s="2"/>
      <c r="N170" s="271">
        <v>0</v>
      </c>
      <c r="O170" s="272">
        <f>'Año 1'!S107</f>
        <v>0</v>
      </c>
      <c r="P170" s="3"/>
      <c r="Q170" s="2"/>
      <c r="V170" s="21"/>
      <c r="W170" s="2"/>
    </row>
    <row r="171" spans="1:24">
      <c r="A171" s="2"/>
      <c r="B171" s="1"/>
      <c r="C171" s="2"/>
      <c r="D171" s="2"/>
      <c r="E171" s="2"/>
      <c r="F171" s="2"/>
      <c r="G171" s="2"/>
      <c r="H171" s="2"/>
      <c r="J171" s="1" t="s">
        <v>83</v>
      </c>
      <c r="K171" s="2"/>
      <c r="L171" s="2"/>
      <c r="M171" s="2"/>
      <c r="N171" s="271">
        <v>0</v>
      </c>
      <c r="O171" s="272">
        <f>'Año 1'!S108</f>
        <v>0</v>
      </c>
      <c r="P171" s="3"/>
      <c r="Q171" s="2"/>
      <c r="V171" s="2"/>
      <c r="W171" s="2"/>
    </row>
    <row r="172" spans="1:24">
      <c r="A172" s="2"/>
      <c r="B172" s="1"/>
      <c r="C172" s="2"/>
      <c r="D172" s="2"/>
      <c r="E172" s="2"/>
      <c r="F172" s="2"/>
      <c r="G172" s="2"/>
      <c r="H172" s="2"/>
      <c r="J172" s="16" t="s">
        <v>78</v>
      </c>
      <c r="K172" s="2"/>
      <c r="L172" s="2"/>
      <c r="M172" s="2"/>
      <c r="N172" s="299">
        <f>SUM(N166:N171)</f>
        <v>-14000000</v>
      </c>
      <c r="O172" s="295">
        <f>'Año 1'!S109</f>
        <v>-9000000</v>
      </c>
      <c r="P172" s="3"/>
      <c r="Q172" s="2"/>
      <c r="V172" s="2"/>
      <c r="W172" s="2"/>
    </row>
    <row r="173" spans="1:24">
      <c r="A173" s="2"/>
      <c r="B173" s="1"/>
      <c r="C173" s="2"/>
      <c r="D173" s="2"/>
      <c r="E173" s="2"/>
      <c r="F173" s="2"/>
      <c r="G173" s="2"/>
      <c r="H173" s="2"/>
      <c r="J173" s="14" t="s">
        <v>84</v>
      </c>
      <c r="K173" s="6"/>
      <c r="L173" s="6"/>
      <c r="M173" s="6"/>
      <c r="N173" s="300"/>
      <c r="O173" s="296"/>
      <c r="P173" s="3"/>
      <c r="Q173" s="2"/>
      <c r="V173" s="2"/>
      <c r="W173" s="2"/>
    </row>
    <row r="174" spans="1:24">
      <c r="A174" s="2"/>
      <c r="B174" s="1"/>
      <c r="C174" s="2"/>
      <c r="D174" s="2"/>
      <c r="E174" s="2"/>
      <c r="F174" s="2"/>
      <c r="G174" s="2"/>
      <c r="H174" s="2"/>
      <c r="J174" s="1" t="s">
        <v>22</v>
      </c>
      <c r="K174" s="2"/>
      <c r="L174" s="2"/>
      <c r="M174" s="2"/>
      <c r="N174" s="271">
        <v>0</v>
      </c>
      <c r="O174" s="272">
        <f>'Año 1'!S111</f>
        <v>0</v>
      </c>
      <c r="P174" s="3"/>
      <c r="Q174" s="2"/>
      <c r="V174" s="2"/>
      <c r="W174" s="2"/>
    </row>
    <row r="175" spans="1:24">
      <c r="A175" s="2"/>
      <c r="B175" s="1"/>
      <c r="C175" s="2"/>
      <c r="D175" s="2"/>
      <c r="E175" s="2"/>
      <c r="F175" s="2"/>
      <c r="G175" s="2"/>
      <c r="H175" s="2"/>
      <c r="J175" s="1" t="s">
        <v>86</v>
      </c>
      <c r="K175" s="2"/>
      <c r="L175" s="2"/>
      <c r="M175" s="2"/>
      <c r="N175" s="271">
        <v>0</v>
      </c>
      <c r="O175" s="272">
        <f>'Año 1'!S112</f>
        <v>0</v>
      </c>
      <c r="P175" s="3"/>
      <c r="Q175" s="2"/>
      <c r="V175" s="2"/>
      <c r="W175" s="2"/>
    </row>
    <row r="176" spans="1:24">
      <c r="A176" s="2"/>
      <c r="B176" s="1"/>
      <c r="C176" s="2"/>
      <c r="D176" s="2"/>
      <c r="E176" s="2"/>
      <c r="F176" s="2"/>
      <c r="G176" s="2"/>
      <c r="H176" s="2"/>
      <c r="J176" s="1" t="s">
        <v>87</v>
      </c>
      <c r="K176" s="2"/>
      <c r="L176" s="2"/>
      <c r="M176" s="2"/>
      <c r="N176" s="271">
        <f>-(H22+G55+G68+G81)</f>
        <v>0</v>
      </c>
      <c r="O176" s="272">
        <f>'Año 1'!S113</f>
        <v>0</v>
      </c>
      <c r="P176" s="3"/>
      <c r="Q176" s="2"/>
      <c r="V176" s="2"/>
      <c r="W176" s="2"/>
    </row>
    <row r="177" spans="1:23">
      <c r="A177" s="2"/>
      <c r="B177" s="1"/>
      <c r="C177" s="2"/>
      <c r="D177" s="2"/>
      <c r="E177" s="2"/>
      <c r="F177" s="2"/>
      <c r="G177" s="2"/>
      <c r="H177" s="2"/>
      <c r="J177" s="17" t="s">
        <v>84</v>
      </c>
      <c r="K177" s="2"/>
      <c r="L177" s="2"/>
      <c r="M177" s="2"/>
      <c r="N177" s="299">
        <f>SUM(N174:N176)</f>
        <v>0</v>
      </c>
      <c r="O177" s="295">
        <f>SUM(O174:O176)</f>
        <v>0</v>
      </c>
      <c r="P177" s="3"/>
      <c r="Q177" s="2"/>
      <c r="V177" s="2"/>
      <c r="W177" s="2"/>
    </row>
    <row r="178" spans="1:23">
      <c r="A178" s="2"/>
      <c r="B178" s="1"/>
      <c r="C178" s="2"/>
      <c r="D178" s="2"/>
      <c r="E178" s="2"/>
      <c r="F178" s="2"/>
      <c r="G178" s="2"/>
      <c r="H178" s="2"/>
      <c r="J178" s="14" t="s">
        <v>85</v>
      </c>
      <c r="K178" s="6"/>
      <c r="L178" s="6"/>
      <c r="M178" s="6"/>
      <c r="N178" s="300"/>
      <c r="O178" s="296"/>
      <c r="P178" s="3"/>
    </row>
    <row r="179" spans="1:23">
      <c r="A179" s="2"/>
      <c r="B179" s="1"/>
      <c r="C179" s="2"/>
      <c r="D179" s="2"/>
      <c r="E179" s="2"/>
      <c r="F179" s="2"/>
      <c r="G179" s="2"/>
      <c r="H179" s="2"/>
      <c r="J179" s="1" t="s">
        <v>88</v>
      </c>
      <c r="K179" s="2"/>
      <c r="L179" s="2"/>
      <c r="M179" s="2"/>
      <c r="N179" s="271">
        <v>0</v>
      </c>
      <c r="O179" s="272">
        <f>'Año 1'!S116</f>
        <v>0</v>
      </c>
      <c r="P179" s="3"/>
    </row>
    <row r="180" spans="1:23">
      <c r="A180" s="2"/>
      <c r="B180" s="1"/>
      <c r="C180" s="2"/>
      <c r="D180" s="2"/>
      <c r="E180" s="2"/>
      <c r="F180" s="2"/>
      <c r="G180" s="2"/>
      <c r="H180" s="2"/>
      <c r="J180" s="1" t="s">
        <v>258</v>
      </c>
      <c r="K180" s="2"/>
      <c r="L180" s="2"/>
      <c r="M180" s="2"/>
      <c r="N180" s="271">
        <v>0</v>
      </c>
      <c r="O180" s="272">
        <f>'Año 1'!S117</f>
        <v>0</v>
      </c>
      <c r="P180" s="3"/>
    </row>
    <row r="181" spans="1:23">
      <c r="A181" s="2"/>
      <c r="B181" s="1"/>
      <c r="C181" s="2"/>
      <c r="D181" s="2"/>
      <c r="E181" s="2"/>
      <c r="F181" s="2"/>
      <c r="G181" s="2"/>
      <c r="H181" s="2"/>
      <c r="J181" s="17" t="s">
        <v>85</v>
      </c>
      <c r="K181" s="2"/>
      <c r="L181" s="2"/>
      <c r="M181" s="2"/>
      <c r="N181" s="299">
        <f>SUM(N179:N180)</f>
        <v>0</v>
      </c>
      <c r="O181" s="295">
        <f>SUM(O179:O180)</f>
        <v>0</v>
      </c>
      <c r="P181" s="3"/>
    </row>
    <row r="182" spans="1:23">
      <c r="A182" s="2"/>
      <c r="B182" s="1"/>
      <c r="C182" s="2"/>
      <c r="D182" s="2"/>
      <c r="E182" s="2"/>
      <c r="F182" s="2"/>
      <c r="G182" s="2"/>
      <c r="H182" s="2"/>
      <c r="J182" s="17"/>
      <c r="L182" s="2"/>
      <c r="M182" s="2"/>
      <c r="N182" s="279"/>
      <c r="O182" s="295"/>
      <c r="P182" s="3"/>
    </row>
    <row r="183" spans="1:23">
      <c r="A183" s="2"/>
      <c r="B183" s="1"/>
      <c r="C183" s="2"/>
      <c r="D183" s="2"/>
      <c r="E183" s="2"/>
      <c r="F183" s="2"/>
      <c r="G183" s="2"/>
      <c r="H183" s="2"/>
      <c r="J183" s="17" t="s">
        <v>248</v>
      </c>
      <c r="L183" s="2"/>
      <c r="M183" s="2"/>
      <c r="N183" s="301">
        <f>N172+N177+N181</f>
        <v>-14000000</v>
      </c>
      <c r="O183" s="295">
        <f>'Año 1'!S120</f>
        <v>-9000000</v>
      </c>
      <c r="P183" s="3"/>
    </row>
    <row r="184" spans="1:23">
      <c r="A184" s="2"/>
      <c r="B184" s="1"/>
      <c r="C184" s="2"/>
      <c r="D184" s="2"/>
      <c r="E184" s="2"/>
      <c r="F184" s="2"/>
      <c r="G184" s="2"/>
      <c r="H184" s="2"/>
      <c r="J184" s="1"/>
      <c r="L184" s="2"/>
      <c r="M184" s="2"/>
      <c r="N184" s="279"/>
      <c r="O184" s="272"/>
      <c r="P184" s="3"/>
    </row>
    <row r="185" spans="1:23">
      <c r="A185" s="2"/>
      <c r="B185" s="1"/>
      <c r="C185" s="2"/>
      <c r="D185" s="2"/>
      <c r="E185" s="2"/>
      <c r="F185" s="2"/>
      <c r="G185" s="2"/>
      <c r="H185" s="2"/>
      <c r="J185" s="16" t="s">
        <v>89</v>
      </c>
      <c r="K185" s="2"/>
      <c r="L185" s="2"/>
      <c r="M185" s="2"/>
      <c r="N185" s="299">
        <f>O187</f>
        <v>4991000000</v>
      </c>
      <c r="O185" s="295">
        <f>'Año 1'!S122</f>
        <v>5000000000</v>
      </c>
      <c r="P185" s="3"/>
    </row>
    <row r="186" spans="1:23">
      <c r="A186" s="2"/>
      <c r="B186" s="1"/>
      <c r="C186" s="2"/>
      <c r="D186" s="2"/>
      <c r="E186" s="2"/>
      <c r="F186" s="2"/>
      <c r="G186" s="2"/>
      <c r="H186" s="2"/>
      <c r="J186" s="1"/>
      <c r="K186" s="2"/>
      <c r="L186" s="2"/>
      <c r="M186" s="2"/>
      <c r="N186" s="299"/>
      <c r="O186" s="272"/>
      <c r="P186" s="3"/>
    </row>
    <row r="187" spans="1:23">
      <c r="A187" s="2"/>
      <c r="B187" s="1"/>
      <c r="C187" s="2"/>
      <c r="D187" s="2"/>
      <c r="E187" s="2"/>
      <c r="F187" s="2"/>
      <c r="G187" s="2"/>
      <c r="H187" s="2"/>
      <c r="J187" s="16" t="s">
        <v>90</v>
      </c>
      <c r="K187" s="2"/>
      <c r="L187" s="2"/>
      <c r="M187" s="2"/>
      <c r="N187" s="299">
        <f>N185+N183</f>
        <v>4977000000</v>
      </c>
      <c r="O187" s="295">
        <f>'Año 1'!S124</f>
        <v>4991000000</v>
      </c>
      <c r="P187" s="3"/>
    </row>
    <row r="188" spans="1:23" ht="16.5" thickBot="1">
      <c r="A188" s="2"/>
      <c r="B188" s="1"/>
      <c r="C188" s="2"/>
      <c r="D188" s="2"/>
      <c r="E188" s="2"/>
      <c r="F188" s="2"/>
      <c r="G188" s="2"/>
      <c r="H188" s="2"/>
      <c r="J188" s="8"/>
      <c r="K188" s="9"/>
      <c r="L188" s="9"/>
      <c r="M188" s="9"/>
      <c r="N188" s="63"/>
      <c r="O188" s="38"/>
      <c r="P188" s="3"/>
    </row>
    <row r="189" spans="1:23">
      <c r="A189" s="2"/>
      <c r="B189" s="1"/>
      <c r="C189" s="2"/>
      <c r="D189" s="2"/>
      <c r="E189" s="2"/>
      <c r="F189" s="2"/>
      <c r="G189" s="2"/>
      <c r="H189" s="2"/>
      <c r="J189" s="2"/>
      <c r="K189" s="2"/>
      <c r="L189" s="2"/>
      <c r="M189" s="2"/>
      <c r="N189" s="262"/>
      <c r="O189" s="262"/>
      <c r="P189" s="3"/>
    </row>
    <row r="190" spans="1:23" ht="16.5" thickBot="1">
      <c r="A190" s="2"/>
      <c r="B190" s="8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39"/>
    </row>
  </sheetData>
  <dataValidations disablePrompts="1" count="11">
    <dataValidation type="list" allowBlank="1" showInputMessage="1" showErrorMessage="1" sqref="C22">
      <formula1>"S3,S4,S5"</formula1>
    </dataValidation>
    <dataValidation type="list" allowBlank="1" showInputMessage="1" showErrorMessage="1" sqref="D110:D112">
      <formula1>"TR1,TR2,TR3,TR4,TR5"</formula1>
    </dataValidation>
    <dataValidation type="list" allowBlank="1" showInputMessage="1" showErrorMessage="1" sqref="C110:C112">
      <formula1>"SA1,SA2,SA3,SA4,SA5,SA6,SA7,SA8"</formula1>
    </dataValidation>
    <dataValidation type="list" allowBlank="1" showInputMessage="1" showErrorMessage="1" sqref="E81:E88">
      <formula1>"O1,O2,O3"</formula1>
    </dataValidation>
    <dataValidation type="list" allowBlank="1" showInputMessage="1" showErrorMessage="1" sqref="F81:F88 F55:F62">
      <formula1>"T1,T2,T3"</formula1>
    </dataValidation>
    <dataValidation type="list" allowBlank="1" showInputMessage="1" showErrorMessage="1" sqref="D55:D62">
      <formula1>"115,135,150,165,180,195,210"</formula1>
    </dataValidation>
    <dataValidation type="list" allowBlank="1" showInputMessage="1" showErrorMessage="1" sqref="D68:D75">
      <formula1>"135,150,165,180,195,210,225"</formula1>
    </dataValidation>
    <dataValidation type="list" allowBlank="1" showInputMessage="1" showErrorMessage="1" sqref="D81:D88">
      <formula1>"90,105,120,135,150,165,180,195,210,225"</formula1>
    </dataValidation>
    <dataValidation type="list" allowBlank="1" showInputMessage="1" showErrorMessage="1" sqref="F68:F75">
      <formula1>"T2,T3"</formula1>
    </dataValidation>
    <dataValidation type="list" allowBlank="1" showInputMessage="1" showErrorMessage="1" sqref="C55:C62 C68:C75 C81:C88">
      <formula1>"ICE,HYB,ELE"</formula1>
    </dataValidation>
    <dataValidation type="list" allowBlank="1" showInputMessage="1" showErrorMessage="1" sqref="E68:E75 E55:E62">
      <formula1>"O2,O3"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54"/>
  <sheetViews>
    <sheetView showGridLines="0" topLeftCell="A362" workbookViewId="0">
      <selection activeCell="E379" sqref="E379"/>
    </sheetView>
  </sheetViews>
  <sheetFormatPr baseColWidth="10" defaultColWidth="10.875" defaultRowHeight="15.75"/>
  <cols>
    <col min="1" max="1" width="4.875" style="2" customWidth="1"/>
    <col min="2" max="2" width="5.875" style="4" customWidth="1"/>
    <col min="3" max="9" width="15.875" style="4" customWidth="1"/>
    <col min="10" max="10" width="18.125" style="4" customWidth="1"/>
    <col min="11" max="15" width="15.875" style="4" customWidth="1"/>
    <col min="16" max="16" width="4.875" style="4" customWidth="1"/>
    <col min="17" max="17" width="18.5" style="4" customWidth="1"/>
    <col min="18" max="18" width="17.125" style="4" customWidth="1"/>
    <col min="19" max="19" width="16.875" style="4" customWidth="1"/>
    <col min="20" max="23" width="15.875" style="4" customWidth="1"/>
    <col min="24" max="24" width="4.875" style="4" customWidth="1"/>
    <col min="25" max="25" width="5.375" style="4" customWidth="1"/>
    <col min="26" max="27" width="10.875" style="4"/>
    <col min="28" max="28" width="10.875" style="4" hidden="1" customWidth="1"/>
    <col min="29" max="16384" width="10.875" style="4"/>
  </cols>
  <sheetData>
    <row r="1" spans="1:24" ht="16.5" thickBot="1">
      <c r="A1" s="4"/>
      <c r="P1" s="60"/>
      <c r="Q1"/>
      <c r="R1"/>
      <c r="S1"/>
      <c r="T1"/>
      <c r="U1"/>
      <c r="V1"/>
      <c r="W1"/>
      <c r="X1"/>
    </row>
    <row r="2" spans="1:24" ht="33" customHeight="1" thickBot="1">
      <c r="A2" s="4"/>
      <c r="B2" s="114" t="s">
        <v>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6"/>
      <c r="Q2"/>
      <c r="R2"/>
      <c r="S2"/>
      <c r="T2"/>
      <c r="U2"/>
      <c r="V2"/>
      <c r="W2"/>
      <c r="X2"/>
    </row>
    <row r="3" spans="1:24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40"/>
      <c r="Q3"/>
      <c r="R3"/>
      <c r="S3"/>
      <c r="T3"/>
      <c r="U3"/>
      <c r="V3"/>
      <c r="W3"/>
      <c r="X3"/>
    </row>
    <row r="4" spans="1:24" ht="23.25">
      <c r="B4" s="64" t="s">
        <v>333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65"/>
      <c r="Q4"/>
      <c r="R4"/>
      <c r="S4"/>
      <c r="T4"/>
      <c r="U4"/>
      <c r="V4"/>
      <c r="W4"/>
      <c r="X4"/>
    </row>
    <row r="5" spans="1:24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  <c r="Q5"/>
      <c r="R5"/>
      <c r="S5"/>
      <c r="T5"/>
      <c r="U5"/>
      <c r="V5"/>
      <c r="W5"/>
      <c r="X5"/>
    </row>
    <row r="6" spans="1:24" ht="24" thickBot="1">
      <c r="B6" s="139"/>
      <c r="C6" s="136" t="s">
        <v>1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40"/>
      <c r="Q6"/>
      <c r="R6"/>
      <c r="S6"/>
      <c r="T6"/>
      <c r="U6"/>
      <c r="V6"/>
      <c r="W6"/>
      <c r="X6"/>
    </row>
    <row r="7" spans="1:24">
      <c r="B7" s="74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138"/>
      <c r="Q7"/>
      <c r="R7"/>
      <c r="S7"/>
      <c r="T7"/>
      <c r="U7"/>
      <c r="V7"/>
      <c r="W7"/>
      <c r="X7"/>
    </row>
    <row r="8" spans="1:24">
      <c r="B8" s="74"/>
      <c r="C8" s="130" t="s">
        <v>244</v>
      </c>
      <c r="D8" s="143"/>
      <c r="E8" s="143"/>
      <c r="F8" s="143"/>
      <c r="G8" s="143"/>
      <c r="H8" s="143"/>
      <c r="I8" s="143"/>
      <c r="J8" s="143"/>
      <c r="K8" s="69"/>
      <c r="L8" s="69"/>
      <c r="M8" s="69"/>
      <c r="N8" s="69"/>
      <c r="O8" s="69"/>
      <c r="P8" s="138"/>
      <c r="Q8"/>
      <c r="R8"/>
      <c r="S8"/>
      <c r="T8"/>
      <c r="U8"/>
      <c r="V8"/>
      <c r="W8"/>
      <c r="X8"/>
    </row>
    <row r="9" spans="1:24">
      <c r="B9" s="74"/>
      <c r="C9" s="143"/>
      <c r="D9" s="143"/>
      <c r="E9" s="143"/>
      <c r="F9" s="143"/>
      <c r="G9" s="143"/>
      <c r="H9" s="143"/>
      <c r="I9" s="143"/>
      <c r="J9" s="143"/>
      <c r="K9" s="69"/>
      <c r="L9" s="69"/>
      <c r="M9" s="69"/>
      <c r="N9" s="69"/>
      <c r="O9" s="69"/>
      <c r="P9" s="138"/>
      <c r="Q9"/>
      <c r="R9"/>
      <c r="S9"/>
      <c r="T9"/>
      <c r="U9"/>
      <c r="V9"/>
      <c r="W9"/>
      <c r="X9"/>
    </row>
    <row r="10" spans="1:24">
      <c r="B10" s="74"/>
      <c r="C10" s="69"/>
      <c r="D10" s="69"/>
      <c r="E10" s="182" t="s">
        <v>232</v>
      </c>
      <c r="F10" s="183"/>
      <c r="G10" s="182" t="s">
        <v>233</v>
      </c>
      <c r="H10" s="183"/>
      <c r="I10" s="182" t="s">
        <v>234</v>
      </c>
      <c r="J10" s="183"/>
      <c r="K10" s="69"/>
      <c r="L10" s="69"/>
      <c r="M10" s="69"/>
      <c r="N10" s="69"/>
      <c r="O10" s="69"/>
      <c r="P10" s="138"/>
      <c r="Q10"/>
      <c r="R10"/>
      <c r="S10"/>
      <c r="T10"/>
      <c r="U10"/>
      <c r="V10"/>
      <c r="W10"/>
      <c r="X10"/>
    </row>
    <row r="11" spans="1:24">
      <c r="B11" s="74"/>
      <c r="C11" s="169" t="s">
        <v>104</v>
      </c>
      <c r="D11" s="169" t="s">
        <v>237</v>
      </c>
      <c r="E11" s="169" t="s">
        <v>135</v>
      </c>
      <c r="F11" s="169" t="s">
        <v>134</v>
      </c>
      <c r="G11" s="169" t="s">
        <v>135</v>
      </c>
      <c r="H11" s="169" t="s">
        <v>134</v>
      </c>
      <c r="I11" s="169" t="s">
        <v>135</v>
      </c>
      <c r="J11" s="169" t="s">
        <v>134</v>
      </c>
      <c r="K11" s="69"/>
      <c r="L11" s="69"/>
      <c r="M11" s="69"/>
      <c r="N11" s="69"/>
      <c r="O11" s="69"/>
      <c r="P11" s="138"/>
      <c r="Q11"/>
      <c r="R11"/>
      <c r="S11"/>
      <c r="T11"/>
      <c r="U11"/>
      <c r="V11"/>
      <c r="W11"/>
      <c r="X11"/>
    </row>
    <row r="12" spans="1:24">
      <c r="B12" s="74"/>
      <c r="C12" s="170"/>
      <c r="D12" s="169" t="s">
        <v>235</v>
      </c>
      <c r="E12" s="67">
        <f>'Año 1'!N23</f>
        <v>0.27</v>
      </c>
      <c r="F12" s="263">
        <f>'Año 1'!O23</f>
        <v>1363918.5</v>
      </c>
      <c r="G12" s="67">
        <f>'Año 1'!P23</f>
        <v>0.17</v>
      </c>
      <c r="H12" s="263">
        <f>H15*G12</f>
        <v>564330.30000000005</v>
      </c>
      <c r="I12" s="67">
        <f>'Año 1'!R23</f>
        <v>0.19</v>
      </c>
      <c r="J12" s="263">
        <f>J15*I12</f>
        <v>1151753.3999999999</v>
      </c>
      <c r="K12" s="69"/>
      <c r="L12" s="69"/>
      <c r="M12" s="69"/>
      <c r="N12" s="69"/>
      <c r="O12" s="69"/>
      <c r="P12" s="138"/>
      <c r="Q12"/>
      <c r="R12"/>
      <c r="S12"/>
      <c r="T12"/>
      <c r="U12"/>
      <c r="V12"/>
      <c r="W12"/>
      <c r="X12"/>
    </row>
    <row r="13" spans="1:24">
      <c r="B13" s="74"/>
      <c r="C13" s="171" t="s">
        <v>227</v>
      </c>
      <c r="D13" s="169" t="s">
        <v>236</v>
      </c>
      <c r="E13" s="67">
        <f>'Año 1'!N24</f>
        <v>0.42</v>
      </c>
      <c r="F13" s="263">
        <f>'Año 1'!O24</f>
        <v>2121651</v>
      </c>
      <c r="G13" s="67">
        <f>'Año 1'!P24</f>
        <v>0.38</v>
      </c>
      <c r="H13" s="263">
        <f>H15*G13</f>
        <v>1261444.2</v>
      </c>
      <c r="I13" s="67">
        <f>'Año 1'!R24</f>
        <v>0.51</v>
      </c>
      <c r="J13" s="263">
        <f>J15*I13</f>
        <v>3091548.6</v>
      </c>
      <c r="K13" s="69"/>
      <c r="L13" s="69"/>
      <c r="M13" s="69"/>
      <c r="N13" s="69"/>
      <c r="O13" s="69"/>
      <c r="P13" s="138"/>
      <c r="Q13"/>
      <c r="R13"/>
      <c r="S13"/>
      <c r="T13"/>
      <c r="U13"/>
      <c r="V13"/>
      <c r="W13"/>
      <c r="X13"/>
    </row>
    <row r="14" spans="1:24">
      <c r="B14" s="74"/>
      <c r="C14" s="172"/>
      <c r="D14" s="169" t="s">
        <v>7</v>
      </c>
      <c r="E14" s="67">
        <f>'Año 1'!N25</f>
        <v>0.31</v>
      </c>
      <c r="F14" s="263">
        <f>'Año 1'!O25</f>
        <v>1565980.5</v>
      </c>
      <c r="G14" s="67">
        <f>'Año 1'!P25</f>
        <v>0.45</v>
      </c>
      <c r="H14" s="263">
        <f>H15*G14</f>
        <v>1493815.5</v>
      </c>
      <c r="I14" s="67">
        <f>'Año 1'!R25</f>
        <v>0.3</v>
      </c>
      <c r="J14" s="263">
        <f>J15*I14</f>
        <v>1818558</v>
      </c>
      <c r="K14" s="69"/>
      <c r="L14" s="69"/>
      <c r="M14" s="69"/>
      <c r="N14" s="69"/>
      <c r="O14" s="69"/>
      <c r="P14" s="138"/>
      <c r="Q14"/>
      <c r="R14"/>
      <c r="S14"/>
      <c r="T14"/>
      <c r="U14"/>
      <c r="V14"/>
      <c r="W14"/>
      <c r="X14"/>
    </row>
    <row r="15" spans="1:24">
      <c r="B15" s="74"/>
      <c r="C15" s="173"/>
      <c r="D15" s="169" t="s">
        <v>155</v>
      </c>
      <c r="E15" s="174">
        <f>'Año 1'!N26</f>
        <v>0.85</v>
      </c>
      <c r="F15" s="264">
        <f>'Año 1'!O26</f>
        <v>5051550</v>
      </c>
      <c r="G15" s="174">
        <f>'Año 1'!P26</f>
        <v>0.85</v>
      </c>
      <c r="H15" s="264">
        <f>H24*G15</f>
        <v>3319590</v>
      </c>
      <c r="I15" s="174">
        <f>'Año 1'!R26</f>
        <v>0.85</v>
      </c>
      <c r="J15" s="264">
        <f>J24*I15</f>
        <v>6061860</v>
      </c>
      <c r="K15" s="69"/>
      <c r="L15" s="69"/>
      <c r="M15" s="69"/>
      <c r="N15" s="69"/>
      <c r="O15" s="69"/>
      <c r="P15" s="138"/>
      <c r="Q15"/>
      <c r="R15"/>
      <c r="S15"/>
      <c r="T15"/>
      <c r="U15"/>
      <c r="V15"/>
      <c r="W15"/>
      <c r="X15"/>
    </row>
    <row r="16" spans="1:24">
      <c r="B16" s="74"/>
      <c r="C16" s="167"/>
      <c r="D16" s="169" t="s">
        <v>235</v>
      </c>
      <c r="E16" s="340">
        <f>'Año 1'!N27</f>
        <v>0.27</v>
      </c>
      <c r="F16" s="341">
        <f>'Año 1'!O27</f>
        <v>160461</v>
      </c>
      <c r="G16" s="340">
        <f>'Año 1'!P27</f>
        <v>0.17</v>
      </c>
      <c r="H16" s="341">
        <f>G16*H19</f>
        <v>66391.8</v>
      </c>
      <c r="I16" s="340">
        <f>'Año 1'!R27</f>
        <v>0.19</v>
      </c>
      <c r="J16" s="341">
        <f>I16*J19</f>
        <v>135500.4</v>
      </c>
      <c r="K16" s="69"/>
      <c r="L16" s="69"/>
      <c r="M16" s="69"/>
      <c r="N16" s="69"/>
      <c r="O16" s="69"/>
      <c r="P16" s="138"/>
      <c r="Q16"/>
      <c r="R16"/>
      <c r="S16"/>
      <c r="T16"/>
      <c r="U16"/>
      <c r="V16"/>
      <c r="W16"/>
      <c r="X16"/>
    </row>
    <row r="17" spans="2:24">
      <c r="B17" s="74"/>
      <c r="C17" s="171" t="s">
        <v>158</v>
      </c>
      <c r="D17" s="169" t="s">
        <v>236</v>
      </c>
      <c r="E17" s="67">
        <f>'Año 1'!N28</f>
        <v>0.42</v>
      </c>
      <c r="F17" s="263">
        <f>'Año 1'!O28</f>
        <v>249606</v>
      </c>
      <c r="G17" s="67">
        <f>'Año 1'!P28</f>
        <v>0.38</v>
      </c>
      <c r="H17" s="263">
        <f>G17*H19</f>
        <v>148405.20000000001</v>
      </c>
      <c r="I17" s="67">
        <f>'Año 1'!R28</f>
        <v>0.51</v>
      </c>
      <c r="J17" s="263">
        <f>I17*J19</f>
        <v>363711.60000000003</v>
      </c>
      <c r="K17" s="69"/>
      <c r="L17" s="69"/>
      <c r="M17" s="69"/>
      <c r="N17" s="69"/>
      <c r="O17" s="69"/>
      <c r="P17" s="138"/>
      <c r="Q17"/>
      <c r="R17"/>
      <c r="S17"/>
      <c r="T17"/>
      <c r="U17"/>
      <c r="V17"/>
      <c r="W17"/>
      <c r="X17"/>
    </row>
    <row r="18" spans="2:24">
      <c r="B18" s="74"/>
      <c r="C18" s="171"/>
      <c r="D18" s="169" t="s">
        <v>7</v>
      </c>
      <c r="E18" s="67">
        <f>'Año 1'!N29</f>
        <v>0.31</v>
      </c>
      <c r="F18" s="263">
        <f>'Año 1'!O29</f>
        <v>184233</v>
      </c>
      <c r="G18" s="67">
        <f>'Año 1'!P29</f>
        <v>0.45</v>
      </c>
      <c r="H18" s="263">
        <f>G18*H19</f>
        <v>175743</v>
      </c>
      <c r="I18" s="67">
        <f>'Año 1'!R29</f>
        <v>0.3</v>
      </c>
      <c r="J18" s="263">
        <f>I18*J19</f>
        <v>213948</v>
      </c>
      <c r="K18" s="69"/>
      <c r="L18" s="69"/>
      <c r="M18" s="69"/>
      <c r="N18" s="69"/>
      <c r="O18" s="69"/>
      <c r="P18" s="138"/>
      <c r="Q18"/>
      <c r="R18"/>
      <c r="S18"/>
      <c r="T18"/>
      <c r="U18"/>
      <c r="V18"/>
      <c r="W18"/>
      <c r="X18"/>
    </row>
    <row r="19" spans="2:24">
      <c r="B19" s="74"/>
      <c r="C19" s="187"/>
      <c r="D19" s="169" t="s">
        <v>155</v>
      </c>
      <c r="E19" s="174">
        <f>'Año 1'!N30</f>
        <v>0.1</v>
      </c>
      <c r="F19" s="264">
        <f>'Año 1'!O30</f>
        <v>594300</v>
      </c>
      <c r="G19" s="174">
        <f>'Año 1'!P30</f>
        <v>0.1</v>
      </c>
      <c r="H19" s="264">
        <f>H24*G19</f>
        <v>390540</v>
      </c>
      <c r="I19" s="174">
        <f>'Año 1'!R30</f>
        <v>0.1</v>
      </c>
      <c r="J19" s="264">
        <f>J24*I19</f>
        <v>713160</v>
      </c>
      <c r="K19" s="69"/>
      <c r="L19" s="69"/>
      <c r="M19" s="69"/>
      <c r="N19" s="69"/>
      <c r="O19" s="69"/>
      <c r="P19" s="138"/>
      <c r="Q19"/>
      <c r="R19"/>
      <c r="S19"/>
      <c r="T19"/>
      <c r="U19"/>
      <c r="V19"/>
      <c r="W19"/>
      <c r="X19"/>
    </row>
    <row r="20" spans="2:24">
      <c r="B20" s="74"/>
      <c r="C20" s="167"/>
      <c r="D20" s="169" t="s">
        <v>235</v>
      </c>
      <c r="E20" s="67">
        <f>'Año 1'!N31</f>
        <v>0.27</v>
      </c>
      <c r="F20" s="263">
        <f>'Año 1'!O31</f>
        <v>80230.5</v>
      </c>
      <c r="G20" s="67">
        <f>'Año 1'!P31</f>
        <v>0.17</v>
      </c>
      <c r="H20" s="263">
        <f>G20*H23</f>
        <v>33195.9</v>
      </c>
      <c r="I20" s="67">
        <f>'Año 1'!R31</f>
        <v>0.19</v>
      </c>
      <c r="J20" s="263">
        <f>I20*J23</f>
        <v>67750.2</v>
      </c>
      <c r="K20" s="69"/>
      <c r="L20" s="69"/>
      <c r="M20" s="69"/>
      <c r="N20" s="69"/>
      <c r="O20" s="69"/>
      <c r="P20" s="138"/>
      <c r="Q20"/>
      <c r="R20"/>
      <c r="S20"/>
      <c r="T20"/>
      <c r="U20"/>
      <c r="V20"/>
      <c r="W20"/>
      <c r="X20"/>
    </row>
    <row r="21" spans="2:24">
      <c r="B21" s="74"/>
      <c r="C21" s="171" t="s">
        <v>159</v>
      </c>
      <c r="D21" s="169" t="s">
        <v>236</v>
      </c>
      <c r="E21" s="67">
        <f>'Año 1'!N32</f>
        <v>0.42</v>
      </c>
      <c r="F21" s="263">
        <f>'Año 1'!O32</f>
        <v>124803</v>
      </c>
      <c r="G21" s="67">
        <f>'Año 1'!P32</f>
        <v>0.38</v>
      </c>
      <c r="H21" s="263">
        <f>G21*H23</f>
        <v>74202.600000000006</v>
      </c>
      <c r="I21" s="67">
        <f>'Año 1'!R32</f>
        <v>0.51</v>
      </c>
      <c r="J21" s="263">
        <f>I21*J23</f>
        <v>181855.80000000002</v>
      </c>
      <c r="K21" s="69"/>
      <c r="L21" s="69"/>
      <c r="M21" s="69"/>
      <c r="N21" s="69"/>
      <c r="O21" s="69"/>
      <c r="P21" s="138"/>
      <c r="Q21"/>
      <c r="R21"/>
      <c r="S21"/>
      <c r="T21"/>
      <c r="U21"/>
      <c r="V21"/>
      <c r="W21"/>
      <c r="X21"/>
    </row>
    <row r="22" spans="2:24">
      <c r="B22" s="74"/>
      <c r="C22" s="171"/>
      <c r="D22" s="169" t="s">
        <v>7</v>
      </c>
      <c r="E22" s="67">
        <f>'Año 1'!N33</f>
        <v>0.31</v>
      </c>
      <c r="F22" s="263">
        <f>'Año 1'!O33</f>
        <v>92116.5</v>
      </c>
      <c r="G22" s="67">
        <f>'Año 1'!P33</f>
        <v>0.45</v>
      </c>
      <c r="H22" s="263">
        <f>G22*H23</f>
        <v>87871.5</v>
      </c>
      <c r="I22" s="67">
        <f>'Año 1'!R33</f>
        <v>0.3</v>
      </c>
      <c r="J22" s="263">
        <f>I22*J23</f>
        <v>106974</v>
      </c>
      <c r="K22" s="69"/>
      <c r="L22" s="69"/>
      <c r="M22" s="69"/>
      <c r="N22" s="69"/>
      <c r="O22" s="69"/>
      <c r="P22" s="138"/>
      <c r="Q22"/>
      <c r="R22"/>
      <c r="S22"/>
      <c r="T22"/>
      <c r="U22"/>
      <c r="V22"/>
      <c r="W22"/>
      <c r="X22"/>
    </row>
    <row r="23" spans="2:24">
      <c r="B23" s="74"/>
      <c r="C23" s="171"/>
      <c r="D23" s="167" t="s">
        <v>155</v>
      </c>
      <c r="E23" s="174">
        <f>'Año 1'!N34</f>
        <v>0.05</v>
      </c>
      <c r="F23" s="264">
        <f>'Año 1'!O34</f>
        <v>297150</v>
      </c>
      <c r="G23" s="174">
        <f>'Año 1'!P34</f>
        <v>0.05</v>
      </c>
      <c r="H23" s="264">
        <f>H24*G23</f>
        <v>195270</v>
      </c>
      <c r="I23" s="174">
        <f>'Año 1'!R34</f>
        <v>0.05</v>
      </c>
      <c r="J23" s="264">
        <f>J24*I23</f>
        <v>356580</v>
      </c>
      <c r="K23" s="69"/>
      <c r="L23" s="69"/>
      <c r="M23" s="69"/>
      <c r="N23" s="69"/>
      <c r="O23" s="69"/>
      <c r="P23" s="138"/>
      <c r="Q23"/>
      <c r="R23"/>
      <c r="S23"/>
      <c r="T23"/>
      <c r="U23"/>
      <c r="V23"/>
      <c r="W23"/>
      <c r="X23"/>
    </row>
    <row r="24" spans="2:24">
      <c r="B24" s="74"/>
      <c r="C24" s="331"/>
      <c r="D24" s="332" t="s">
        <v>358</v>
      </c>
      <c r="E24" s="199">
        <f>'Año 1'!N35</f>
        <v>0.35</v>
      </c>
      <c r="F24" s="264">
        <f>E24*16980000</f>
        <v>5943000</v>
      </c>
      <c r="G24" s="174">
        <f>'Año 1'!P35</f>
        <v>0.23</v>
      </c>
      <c r="H24" s="264">
        <f>G24*16980000</f>
        <v>3905400</v>
      </c>
      <c r="I24" s="174">
        <f>'Año 1'!R35</f>
        <v>0.42</v>
      </c>
      <c r="J24" s="264">
        <f>I24*16980000</f>
        <v>7131600</v>
      </c>
      <c r="K24" s="69"/>
      <c r="L24" s="69"/>
      <c r="M24" s="69"/>
      <c r="N24" s="69"/>
      <c r="O24" s="69"/>
      <c r="P24" s="138"/>
      <c r="Q24"/>
      <c r="R24"/>
      <c r="S24"/>
      <c r="T24"/>
      <c r="U24"/>
      <c r="V24"/>
      <c r="W24"/>
      <c r="X24"/>
    </row>
    <row r="25" spans="2:24">
      <c r="B25" s="74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138"/>
      <c r="Q25"/>
      <c r="R25"/>
      <c r="S25"/>
      <c r="T25"/>
      <c r="U25"/>
      <c r="V25"/>
      <c r="W25"/>
      <c r="X25"/>
    </row>
    <row r="26" spans="2:24"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2"/>
      <c r="Q26"/>
      <c r="R26"/>
      <c r="S26"/>
      <c r="T26"/>
      <c r="U26"/>
      <c r="V26"/>
      <c r="W26"/>
      <c r="X26"/>
    </row>
    <row r="27" spans="2:24">
      <c r="B27" s="20"/>
      <c r="C27" s="24" t="s">
        <v>376</v>
      </c>
      <c r="D27" s="60"/>
      <c r="E27" s="60"/>
      <c r="F27" s="60"/>
      <c r="G27" s="60"/>
      <c r="H27" s="60"/>
      <c r="I27" s="60"/>
      <c r="J27" s="60"/>
      <c r="K27" s="21"/>
      <c r="L27" s="21"/>
      <c r="M27" s="21"/>
      <c r="N27" s="21"/>
      <c r="O27" s="21"/>
      <c r="P27" s="22"/>
      <c r="Q27"/>
      <c r="R27"/>
      <c r="S27"/>
      <c r="T27"/>
      <c r="U27"/>
      <c r="V27"/>
      <c r="W27"/>
      <c r="X27"/>
    </row>
    <row r="28" spans="2:24">
      <c r="B28" s="20"/>
      <c r="C28" s="60"/>
      <c r="D28" s="2"/>
      <c r="E28" s="2"/>
      <c r="F28" s="2"/>
      <c r="G28" s="2"/>
      <c r="H28" s="21"/>
      <c r="I28" s="21"/>
      <c r="J28" s="21"/>
      <c r="K28" s="21"/>
      <c r="L28" s="21"/>
      <c r="M28" s="21"/>
      <c r="N28" s="21"/>
      <c r="O28" s="21"/>
      <c r="P28" s="22"/>
      <c r="Q28"/>
      <c r="R28"/>
      <c r="S28"/>
      <c r="T28"/>
      <c r="U28"/>
      <c r="V28"/>
      <c r="W28"/>
      <c r="X28"/>
    </row>
    <row r="29" spans="2:24" ht="15.95" customHeight="1">
      <c r="B29" s="20"/>
      <c r="C29" s="90"/>
      <c r="D29" s="100"/>
      <c r="E29" s="200" t="s">
        <v>232</v>
      </c>
      <c r="F29" s="201"/>
      <c r="G29" s="200" t="s">
        <v>233</v>
      </c>
      <c r="H29" s="201"/>
      <c r="I29" s="200" t="s">
        <v>234</v>
      </c>
      <c r="J29" s="201"/>
      <c r="K29" s="21"/>
      <c r="L29" s="21"/>
      <c r="M29" s="21"/>
      <c r="N29" s="21"/>
      <c r="O29" s="21"/>
      <c r="P29" s="22"/>
      <c r="Q29"/>
      <c r="R29"/>
      <c r="S29"/>
      <c r="T29"/>
      <c r="U29"/>
      <c r="V29"/>
      <c r="W29"/>
      <c r="X29"/>
    </row>
    <row r="30" spans="2:24" ht="15.95" customHeight="1">
      <c r="B30" s="20"/>
      <c r="C30" s="100"/>
      <c r="D30" s="100"/>
      <c r="E30" s="202" t="s">
        <v>278</v>
      </c>
      <c r="F30" s="201"/>
      <c r="G30" s="202" t="s">
        <v>278</v>
      </c>
      <c r="H30" s="201"/>
      <c r="I30" s="202" t="s">
        <v>278</v>
      </c>
      <c r="J30" s="201"/>
      <c r="K30" s="21"/>
      <c r="L30" s="21"/>
      <c r="M30" s="21"/>
      <c r="N30" s="21"/>
      <c r="O30" s="21"/>
      <c r="P30" s="22"/>
      <c r="Q30"/>
      <c r="R30"/>
      <c r="S30"/>
      <c r="T30"/>
      <c r="U30"/>
      <c r="V30"/>
      <c r="W30"/>
      <c r="X30"/>
    </row>
    <row r="31" spans="2:24" ht="31.5">
      <c r="B31" s="20"/>
      <c r="C31" s="203" t="s">
        <v>104</v>
      </c>
      <c r="D31" s="203" t="s">
        <v>237</v>
      </c>
      <c r="E31" s="203" t="s">
        <v>135</v>
      </c>
      <c r="F31" s="203" t="s">
        <v>134</v>
      </c>
      <c r="G31" s="203" t="s">
        <v>135</v>
      </c>
      <c r="H31" s="203" t="s">
        <v>134</v>
      </c>
      <c r="I31" s="203" t="s">
        <v>135</v>
      </c>
      <c r="J31" s="203" t="s">
        <v>134</v>
      </c>
      <c r="K31" s="21"/>
      <c r="L31" s="21"/>
      <c r="M31" s="21"/>
      <c r="N31" s="21"/>
      <c r="O31" s="21"/>
      <c r="P31" s="22"/>
      <c r="Q31"/>
      <c r="R31"/>
      <c r="S31"/>
      <c r="T31"/>
      <c r="U31"/>
      <c r="V31"/>
      <c r="W31"/>
      <c r="X31"/>
    </row>
    <row r="32" spans="2:24">
      <c r="B32" s="20"/>
      <c r="C32" s="347" t="s">
        <v>227</v>
      </c>
      <c r="D32" s="169" t="s">
        <v>235</v>
      </c>
      <c r="E32" s="89"/>
      <c r="F32" s="302">
        <f>E32*F12</f>
        <v>0</v>
      </c>
      <c r="G32" s="89"/>
      <c r="H32" s="302">
        <f>G32*H12</f>
        <v>0</v>
      </c>
      <c r="I32" s="89"/>
      <c r="J32" s="302">
        <f>I32*J12</f>
        <v>0</v>
      </c>
      <c r="K32" s="21"/>
      <c r="L32" s="21"/>
      <c r="M32" s="21"/>
      <c r="N32" s="21"/>
      <c r="O32" s="21"/>
      <c r="P32" s="22"/>
      <c r="Q32"/>
      <c r="R32"/>
      <c r="S32"/>
      <c r="T32"/>
      <c r="U32"/>
      <c r="V32"/>
      <c r="W32"/>
      <c r="X32"/>
    </row>
    <row r="33" spans="2:24">
      <c r="B33" s="20"/>
      <c r="C33" s="348"/>
      <c r="D33" s="169" t="s">
        <v>236</v>
      </c>
      <c r="E33" s="89"/>
      <c r="F33" s="302">
        <f>E33*F13</f>
        <v>0</v>
      </c>
      <c r="G33" s="89"/>
      <c r="H33" s="302">
        <f>G33*H13</f>
        <v>0</v>
      </c>
      <c r="I33" s="89"/>
      <c r="J33" s="302">
        <f>I33*J13</f>
        <v>0</v>
      </c>
      <c r="K33" s="21"/>
      <c r="L33" s="21"/>
      <c r="M33" s="21"/>
      <c r="N33" s="21"/>
      <c r="O33" s="21"/>
      <c r="P33" s="22"/>
      <c r="Q33"/>
      <c r="R33"/>
      <c r="S33"/>
      <c r="T33"/>
      <c r="U33"/>
      <c r="V33"/>
      <c r="W33"/>
      <c r="X33"/>
    </row>
    <row r="34" spans="2:24">
      <c r="B34" s="20"/>
      <c r="C34" s="348"/>
      <c r="D34" s="169" t="s">
        <v>7</v>
      </c>
      <c r="E34" s="89"/>
      <c r="F34" s="302">
        <f>E34*F14</f>
        <v>0</v>
      </c>
      <c r="G34" s="89"/>
      <c r="H34" s="302">
        <f>G34*H14</f>
        <v>0</v>
      </c>
      <c r="I34" s="89"/>
      <c r="J34" s="302">
        <f>I34*J14</f>
        <v>0</v>
      </c>
      <c r="K34" s="21"/>
      <c r="L34" s="21"/>
      <c r="M34" s="21"/>
      <c r="N34" s="21"/>
      <c r="O34" s="21"/>
      <c r="P34" s="22"/>
      <c r="Q34"/>
      <c r="R34"/>
      <c r="S34"/>
      <c r="T34"/>
      <c r="U34"/>
      <c r="V34"/>
      <c r="W34"/>
      <c r="X34"/>
    </row>
    <row r="35" spans="2:24">
      <c r="B35" s="20"/>
      <c r="C35" s="349"/>
      <c r="D35" s="169" t="s">
        <v>155</v>
      </c>
      <c r="E35" s="206">
        <f>F35/F15</f>
        <v>0</v>
      </c>
      <c r="F35" s="302">
        <f>SUM(F32:F34)</f>
        <v>0</v>
      </c>
      <c r="G35" s="206">
        <f>H35/H15</f>
        <v>0</v>
      </c>
      <c r="H35" s="302">
        <f>SUM(H32:H34)</f>
        <v>0</v>
      </c>
      <c r="I35" s="206">
        <f>J35/J15</f>
        <v>0</v>
      </c>
      <c r="J35" s="302">
        <f>SUM(J32:J34)</f>
        <v>0</v>
      </c>
      <c r="K35" s="21"/>
      <c r="L35" s="21"/>
      <c r="M35" s="21"/>
      <c r="N35" s="21"/>
      <c r="O35" s="21"/>
      <c r="P35" s="22"/>
      <c r="Q35"/>
      <c r="R35"/>
      <c r="S35"/>
      <c r="T35"/>
      <c r="U35"/>
      <c r="V35"/>
      <c r="W35"/>
      <c r="X35"/>
    </row>
    <row r="36" spans="2:24">
      <c r="B36" s="20"/>
      <c r="C36" s="347" t="s">
        <v>158</v>
      </c>
      <c r="D36" s="169" t="s">
        <v>235</v>
      </c>
      <c r="E36" s="89"/>
      <c r="F36" s="302">
        <f>E36*F16</f>
        <v>0</v>
      </c>
      <c r="G36" s="89"/>
      <c r="H36" s="302">
        <f>G36*H16</f>
        <v>0</v>
      </c>
      <c r="I36" s="89"/>
      <c r="J36" s="302">
        <f>I36*J16</f>
        <v>0</v>
      </c>
      <c r="K36" s="21"/>
      <c r="L36" s="21"/>
      <c r="M36" s="21"/>
      <c r="N36" s="21"/>
      <c r="O36" s="21"/>
      <c r="P36" s="22"/>
      <c r="Q36"/>
      <c r="R36"/>
      <c r="S36"/>
      <c r="T36"/>
      <c r="U36"/>
      <c r="V36"/>
      <c r="W36"/>
      <c r="X36"/>
    </row>
    <row r="37" spans="2:24">
      <c r="B37" s="20"/>
      <c r="C37" s="348"/>
      <c r="D37" s="169" t="s">
        <v>236</v>
      </c>
      <c r="E37" s="89"/>
      <c r="F37" s="302">
        <f>E37*F17</f>
        <v>0</v>
      </c>
      <c r="G37" s="89"/>
      <c r="H37" s="302">
        <f>G37*H17</f>
        <v>0</v>
      </c>
      <c r="I37" s="89"/>
      <c r="J37" s="302">
        <f>I37*J17</f>
        <v>0</v>
      </c>
      <c r="K37" s="21"/>
      <c r="L37" s="21"/>
      <c r="M37" s="21"/>
      <c r="N37" s="21"/>
      <c r="O37" s="21"/>
      <c r="P37" s="22"/>
      <c r="Q37"/>
      <c r="R37"/>
      <c r="S37"/>
      <c r="T37"/>
      <c r="U37"/>
      <c r="V37"/>
      <c r="W37"/>
      <c r="X37"/>
    </row>
    <row r="38" spans="2:24">
      <c r="B38" s="20"/>
      <c r="C38" s="348"/>
      <c r="D38" s="169" t="s">
        <v>7</v>
      </c>
      <c r="E38" s="89"/>
      <c r="F38" s="302">
        <f>E38*F18</f>
        <v>0</v>
      </c>
      <c r="G38" s="89"/>
      <c r="H38" s="302">
        <f>G38*H18</f>
        <v>0</v>
      </c>
      <c r="I38" s="89"/>
      <c r="J38" s="302">
        <f>I38*J18</f>
        <v>0</v>
      </c>
      <c r="K38" s="21"/>
      <c r="L38" s="21"/>
      <c r="M38" s="21"/>
      <c r="N38" s="21"/>
      <c r="O38" s="21"/>
      <c r="P38" s="22"/>
      <c r="Q38"/>
      <c r="R38"/>
      <c r="S38"/>
      <c r="T38"/>
      <c r="U38"/>
      <c r="V38"/>
      <c r="W38"/>
      <c r="X38"/>
    </row>
    <row r="39" spans="2:24">
      <c r="B39" s="20"/>
      <c r="C39" s="349"/>
      <c r="D39" s="169" t="s">
        <v>155</v>
      </c>
      <c r="E39" s="206">
        <f>F39/F19</f>
        <v>0</v>
      </c>
      <c r="F39" s="302">
        <f>SUM(F36:F38)</f>
        <v>0</v>
      </c>
      <c r="G39" s="206">
        <f>H39/H19</f>
        <v>0</v>
      </c>
      <c r="H39" s="302">
        <f>SUM(H36:H38)</f>
        <v>0</v>
      </c>
      <c r="I39" s="206">
        <f>J39/J19</f>
        <v>0</v>
      </c>
      <c r="J39" s="302">
        <f>SUM(J36:J38)</f>
        <v>0</v>
      </c>
      <c r="K39" s="21"/>
      <c r="L39" s="21"/>
      <c r="M39" s="21"/>
      <c r="N39" s="21"/>
      <c r="O39" s="21"/>
      <c r="P39" s="22"/>
      <c r="Q39"/>
      <c r="R39"/>
      <c r="S39"/>
      <c r="T39"/>
      <c r="U39"/>
      <c r="V39"/>
      <c r="W39"/>
      <c r="X39"/>
    </row>
    <row r="40" spans="2:24">
      <c r="B40" s="20"/>
      <c r="C40" s="347" t="s">
        <v>159</v>
      </c>
      <c r="D40" s="169" t="s">
        <v>235</v>
      </c>
      <c r="E40" s="89"/>
      <c r="F40" s="302">
        <f>E40*F20</f>
        <v>0</v>
      </c>
      <c r="G40" s="89"/>
      <c r="H40" s="302">
        <f>G40*H20</f>
        <v>0</v>
      </c>
      <c r="I40" s="89"/>
      <c r="J40" s="302">
        <f>I40*J20</f>
        <v>0</v>
      </c>
      <c r="K40" s="21"/>
      <c r="L40" s="21"/>
      <c r="M40" s="21"/>
      <c r="N40" s="21"/>
      <c r="O40" s="21"/>
      <c r="P40" s="22"/>
      <c r="Q40"/>
      <c r="R40"/>
      <c r="S40"/>
      <c r="T40"/>
      <c r="U40"/>
      <c r="V40"/>
      <c r="W40"/>
      <c r="X40"/>
    </row>
    <row r="41" spans="2:24">
      <c r="B41" s="20"/>
      <c r="C41" s="348"/>
      <c r="D41" s="169" t="s">
        <v>236</v>
      </c>
      <c r="E41" s="89"/>
      <c r="F41" s="302">
        <f>E41*F21</f>
        <v>0</v>
      </c>
      <c r="G41" s="89"/>
      <c r="H41" s="302">
        <f>G41*H21</f>
        <v>0</v>
      </c>
      <c r="I41" s="89"/>
      <c r="J41" s="302">
        <f>I41*J21</f>
        <v>0</v>
      </c>
      <c r="K41" s="21"/>
      <c r="L41" s="21"/>
      <c r="M41" s="21"/>
      <c r="N41" s="21"/>
      <c r="O41" s="21"/>
      <c r="P41" s="22"/>
      <c r="Q41"/>
      <c r="R41"/>
      <c r="S41"/>
      <c r="T41"/>
      <c r="U41"/>
      <c r="V41"/>
      <c r="W41"/>
      <c r="X41"/>
    </row>
    <row r="42" spans="2:24" ht="15.95" customHeight="1">
      <c r="B42" s="20"/>
      <c r="C42" s="348"/>
      <c r="D42" s="169" t="s">
        <v>7</v>
      </c>
      <c r="E42" s="89"/>
      <c r="F42" s="302">
        <f>E42*F22</f>
        <v>0</v>
      </c>
      <c r="G42" s="89"/>
      <c r="H42" s="302">
        <f>G42*H22</f>
        <v>0</v>
      </c>
      <c r="I42" s="89"/>
      <c r="J42" s="302">
        <f>I42*J22</f>
        <v>0</v>
      </c>
      <c r="K42" s="21"/>
      <c r="L42" s="21"/>
      <c r="M42" s="21"/>
      <c r="N42" s="21"/>
      <c r="O42" s="21"/>
      <c r="P42" s="22"/>
      <c r="Q42"/>
      <c r="R42"/>
      <c r="S42"/>
      <c r="T42"/>
      <c r="U42"/>
      <c r="V42"/>
      <c r="W42"/>
      <c r="X42"/>
    </row>
    <row r="43" spans="2:24">
      <c r="B43" s="20"/>
      <c r="C43" s="349"/>
      <c r="D43" s="169" t="s">
        <v>155</v>
      </c>
      <c r="E43" s="206">
        <f>F43/F23</f>
        <v>0</v>
      </c>
      <c r="F43" s="302">
        <f>SUM(F40:F42)</f>
        <v>0</v>
      </c>
      <c r="G43" s="206">
        <f>H43/H23</f>
        <v>0</v>
      </c>
      <c r="H43" s="302">
        <f>SUM(H40:H42)</f>
        <v>0</v>
      </c>
      <c r="I43" s="206">
        <f>J43/J23</f>
        <v>0</v>
      </c>
      <c r="J43" s="302">
        <f>SUM(J40:J42)</f>
        <v>0</v>
      </c>
      <c r="K43" s="21"/>
      <c r="L43" s="21"/>
      <c r="M43" s="21"/>
      <c r="N43" s="21"/>
      <c r="O43" s="21"/>
      <c r="P43" s="22"/>
      <c r="Q43"/>
      <c r="R43"/>
      <c r="S43"/>
      <c r="T43"/>
      <c r="U43"/>
      <c r="V43"/>
      <c r="W43"/>
      <c r="X43"/>
    </row>
    <row r="44" spans="2:24" ht="15.95" customHeight="1">
      <c r="B44" s="20"/>
      <c r="C44" s="204" t="s">
        <v>279</v>
      </c>
      <c r="D44" s="205"/>
      <c r="E44" s="206">
        <f>F44/F24</f>
        <v>0</v>
      </c>
      <c r="F44" s="302">
        <f>F35+F39+F43</f>
        <v>0</v>
      </c>
      <c r="G44" s="206">
        <f>H44/H24</f>
        <v>0</v>
      </c>
      <c r="H44" s="302">
        <f>H35+H39+H43</f>
        <v>0</v>
      </c>
      <c r="I44" s="206">
        <f>J44/J24</f>
        <v>0</v>
      </c>
      <c r="J44" s="302">
        <f>J35+J39+J43</f>
        <v>0</v>
      </c>
      <c r="K44" s="21"/>
      <c r="L44" s="21"/>
      <c r="M44" s="21"/>
      <c r="N44" s="21"/>
      <c r="O44" s="21"/>
      <c r="P44" s="22"/>
      <c r="Q44"/>
      <c r="R44"/>
      <c r="S44"/>
      <c r="T44"/>
      <c r="U44"/>
      <c r="V44"/>
      <c r="W44"/>
      <c r="X44"/>
    </row>
    <row r="45" spans="2:24">
      <c r="B45" s="20"/>
      <c r="C45" s="60"/>
      <c r="D45" s="60"/>
      <c r="E45" s="60"/>
      <c r="F45" s="60"/>
      <c r="G45" s="60"/>
      <c r="H45" s="60"/>
      <c r="I45" s="60"/>
      <c r="J45" s="60"/>
      <c r="K45" s="21"/>
      <c r="L45" s="21"/>
      <c r="M45" s="21"/>
      <c r="N45" s="21"/>
      <c r="O45" s="21"/>
      <c r="P45" s="22"/>
      <c r="Q45"/>
      <c r="R45"/>
      <c r="S45"/>
      <c r="T45"/>
      <c r="U45"/>
      <c r="V45"/>
      <c r="W45"/>
      <c r="X45"/>
    </row>
    <row r="46" spans="2:24">
      <c r="B46" s="20"/>
      <c r="C46" s="56" t="s">
        <v>359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2"/>
      <c r="Q46"/>
      <c r="R46"/>
      <c r="S46"/>
      <c r="T46"/>
      <c r="U46"/>
      <c r="V46"/>
      <c r="W46"/>
      <c r="X46"/>
    </row>
    <row r="47" spans="2:24">
      <c r="B47" s="20"/>
      <c r="C47" s="56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2"/>
      <c r="Q47"/>
      <c r="R47"/>
      <c r="S47"/>
      <c r="T47"/>
      <c r="U47"/>
      <c r="V47"/>
      <c r="W47"/>
      <c r="X47"/>
    </row>
    <row r="48" spans="2:24">
      <c r="B48" s="20"/>
      <c r="C48" s="2"/>
      <c r="D48" s="2"/>
      <c r="E48" s="2"/>
      <c r="F48" s="2"/>
      <c r="G48" s="2"/>
      <c r="H48" s="2"/>
      <c r="I48" s="21"/>
      <c r="J48" s="21"/>
      <c r="K48" s="21"/>
      <c r="L48" s="21"/>
      <c r="M48" s="21"/>
      <c r="N48" s="21"/>
      <c r="O48" s="21"/>
      <c r="P48" s="22"/>
      <c r="Q48"/>
      <c r="R48"/>
      <c r="S48"/>
      <c r="T48"/>
      <c r="U48"/>
      <c r="V48"/>
      <c r="W48"/>
      <c r="X48"/>
    </row>
    <row r="49" spans="1:24" ht="23.25">
      <c r="A49" s="4"/>
      <c r="B49" s="64" t="s">
        <v>216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65"/>
      <c r="Q49"/>
      <c r="R49"/>
      <c r="S49"/>
      <c r="T49"/>
      <c r="U49"/>
      <c r="V49"/>
      <c r="W49"/>
      <c r="X49"/>
    </row>
    <row r="50" spans="1:24">
      <c r="A50" s="4"/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2"/>
      <c r="Q50"/>
      <c r="R50"/>
      <c r="S50"/>
      <c r="T50"/>
      <c r="U50"/>
      <c r="V50"/>
      <c r="W50"/>
      <c r="X50"/>
    </row>
    <row r="51" spans="1:24" ht="24" thickBot="1">
      <c r="A51" s="4"/>
      <c r="B51" s="139"/>
      <c r="C51" s="136" t="s">
        <v>1</v>
      </c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40"/>
      <c r="Q51"/>
      <c r="R51"/>
      <c r="S51"/>
      <c r="T51"/>
      <c r="U51"/>
      <c r="V51"/>
      <c r="W51"/>
      <c r="X51"/>
    </row>
    <row r="52" spans="1:24">
      <c r="A52" s="4"/>
      <c r="B52" s="74"/>
      <c r="C52" s="130" t="s">
        <v>299</v>
      </c>
      <c r="D52" s="130"/>
      <c r="E52" s="130"/>
      <c r="F52" s="130"/>
      <c r="G52" s="130"/>
      <c r="H52" s="131">
        <v>200000000</v>
      </c>
      <c r="I52" s="69"/>
      <c r="J52" s="69"/>
      <c r="K52" s="69"/>
      <c r="L52" s="69"/>
      <c r="M52" s="69"/>
      <c r="N52" s="69"/>
      <c r="O52" s="69"/>
      <c r="P52" s="138"/>
      <c r="Q52"/>
      <c r="R52"/>
      <c r="S52"/>
      <c r="T52"/>
      <c r="U52"/>
      <c r="V52"/>
      <c r="W52"/>
      <c r="X52"/>
    </row>
    <row r="53" spans="1:24">
      <c r="A53" s="4"/>
      <c r="B53" s="74"/>
      <c r="C53" s="132" t="s">
        <v>14</v>
      </c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138"/>
      <c r="Q53"/>
      <c r="R53"/>
      <c r="S53"/>
      <c r="T53"/>
      <c r="U53"/>
      <c r="V53"/>
      <c r="W53"/>
      <c r="X53"/>
    </row>
    <row r="54" spans="1:24">
      <c r="A54" s="4"/>
      <c r="B54" s="74"/>
      <c r="C54" s="132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138"/>
      <c r="Q54"/>
      <c r="R54"/>
      <c r="S54"/>
      <c r="T54"/>
      <c r="U54"/>
      <c r="V54"/>
      <c r="W54"/>
      <c r="X54"/>
    </row>
    <row r="55" spans="1:24">
      <c r="A55" s="4"/>
      <c r="B55" s="74"/>
      <c r="C55" s="133" t="s">
        <v>12</v>
      </c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138"/>
      <c r="Q55"/>
      <c r="R55"/>
      <c r="S55"/>
      <c r="T55"/>
      <c r="U55"/>
      <c r="V55"/>
      <c r="W55"/>
      <c r="X55"/>
    </row>
    <row r="56" spans="1:24">
      <c r="A56" s="4"/>
      <c r="B56" s="74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138"/>
      <c r="Q56"/>
      <c r="R56"/>
      <c r="S56"/>
      <c r="T56"/>
      <c r="U56"/>
      <c r="V56"/>
      <c r="W56"/>
      <c r="X56"/>
    </row>
    <row r="57" spans="1:24">
      <c r="A57" s="4"/>
      <c r="B57" s="74"/>
      <c r="C57" s="69"/>
      <c r="D57" s="182" t="s">
        <v>15</v>
      </c>
      <c r="E57" s="183"/>
      <c r="F57" s="182" t="s">
        <v>16</v>
      </c>
      <c r="G57" s="183"/>
      <c r="H57" s="182" t="s">
        <v>17</v>
      </c>
      <c r="I57" s="183"/>
      <c r="J57" s="69"/>
      <c r="K57" s="69"/>
      <c r="L57" s="69"/>
      <c r="M57" s="69"/>
      <c r="N57" s="69"/>
      <c r="O57" s="69"/>
      <c r="P57" s="138"/>
      <c r="Q57"/>
      <c r="R57"/>
      <c r="S57"/>
      <c r="T57"/>
      <c r="U57"/>
      <c r="V57"/>
      <c r="W57"/>
      <c r="X57"/>
    </row>
    <row r="58" spans="1:24">
      <c r="A58" s="4"/>
      <c r="B58" s="74"/>
      <c r="C58" s="69"/>
      <c r="D58" s="169" t="s">
        <v>10</v>
      </c>
      <c r="E58" s="169" t="s">
        <v>11</v>
      </c>
      <c r="F58" s="169" t="s">
        <v>10</v>
      </c>
      <c r="G58" s="169" t="s">
        <v>11</v>
      </c>
      <c r="H58" s="169" t="s">
        <v>10</v>
      </c>
      <c r="I58" s="169" t="s">
        <v>11</v>
      </c>
      <c r="J58" s="69"/>
      <c r="K58" s="69"/>
      <c r="L58" s="69"/>
      <c r="M58" s="69"/>
      <c r="N58" s="69"/>
      <c r="O58" s="69"/>
      <c r="P58" s="138"/>
      <c r="Q58"/>
      <c r="R58"/>
      <c r="S58"/>
      <c r="T58"/>
      <c r="U58"/>
      <c r="V58"/>
      <c r="W58"/>
      <c r="X58"/>
    </row>
    <row r="59" spans="1:24">
      <c r="A59" s="4"/>
      <c r="B59" s="74"/>
      <c r="C59" s="169" t="s">
        <v>8</v>
      </c>
      <c r="D59" s="30">
        <v>440</v>
      </c>
      <c r="E59" s="30">
        <v>479</v>
      </c>
      <c r="F59" s="30">
        <v>172</v>
      </c>
      <c r="G59" s="30">
        <v>186</v>
      </c>
      <c r="H59" s="30">
        <v>142</v>
      </c>
      <c r="I59" s="30">
        <v>167</v>
      </c>
      <c r="J59" s="69"/>
      <c r="K59" s="69"/>
      <c r="L59" s="69"/>
      <c r="M59" s="69"/>
      <c r="N59" s="69"/>
      <c r="O59" s="69"/>
      <c r="P59" s="138"/>
      <c r="Q59"/>
      <c r="R59"/>
      <c r="S59"/>
      <c r="T59"/>
      <c r="U59"/>
      <c r="V59"/>
      <c r="W59"/>
      <c r="X59"/>
    </row>
    <row r="60" spans="1:24">
      <c r="A60" s="4"/>
      <c r="B60" s="74"/>
      <c r="C60" s="169" t="s">
        <v>9</v>
      </c>
      <c r="D60" s="188">
        <v>480</v>
      </c>
      <c r="E60" s="188">
        <v>510</v>
      </c>
      <c r="F60" s="188">
        <v>173</v>
      </c>
      <c r="G60" s="188">
        <v>194</v>
      </c>
      <c r="H60" s="188">
        <v>141</v>
      </c>
      <c r="I60" s="188">
        <v>172</v>
      </c>
      <c r="J60" s="69"/>
      <c r="K60" s="69"/>
      <c r="L60" s="69"/>
      <c r="M60" s="69"/>
      <c r="N60" s="69"/>
      <c r="O60" s="69"/>
      <c r="P60" s="138"/>
      <c r="Q60"/>
      <c r="R60"/>
      <c r="S60"/>
      <c r="T60"/>
      <c r="U60"/>
      <c r="V60"/>
      <c r="W60"/>
      <c r="X60"/>
    </row>
    <row r="61" spans="1:24">
      <c r="A61" s="4"/>
      <c r="B61" s="74"/>
      <c r="C61" s="169" t="s">
        <v>156</v>
      </c>
      <c r="D61" s="30">
        <v>430</v>
      </c>
      <c r="E61" s="30">
        <v>475</v>
      </c>
      <c r="F61" s="30">
        <v>174</v>
      </c>
      <c r="G61" s="30">
        <v>195</v>
      </c>
      <c r="H61" s="30">
        <v>150</v>
      </c>
      <c r="I61" s="30">
        <v>185</v>
      </c>
      <c r="J61" s="69"/>
      <c r="K61" s="69"/>
      <c r="L61" s="69"/>
      <c r="M61" s="69"/>
      <c r="N61" s="69"/>
      <c r="O61" s="69"/>
      <c r="P61" s="138"/>
      <c r="Q61"/>
      <c r="R61"/>
      <c r="S61"/>
      <c r="T61"/>
      <c r="U61"/>
      <c r="V61"/>
      <c r="W61"/>
      <c r="X61"/>
    </row>
    <row r="62" spans="1:24">
      <c r="A62" s="4"/>
      <c r="B62" s="74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138"/>
      <c r="Q62"/>
      <c r="R62"/>
      <c r="S62"/>
      <c r="T62"/>
      <c r="U62"/>
      <c r="V62"/>
      <c r="W62"/>
      <c r="X62"/>
    </row>
    <row r="63" spans="1:24">
      <c r="A63" s="4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2"/>
      <c r="Q63"/>
      <c r="R63"/>
      <c r="S63"/>
      <c r="T63"/>
      <c r="U63"/>
      <c r="V63"/>
      <c r="W63"/>
      <c r="X63"/>
    </row>
    <row r="64" spans="1:24">
      <c r="A64" s="4"/>
      <c r="B64" s="20"/>
      <c r="C64" s="24" t="s">
        <v>93</v>
      </c>
      <c r="D64" s="24"/>
      <c r="E64" s="21"/>
      <c r="F64" s="21"/>
      <c r="G64" s="21" t="s">
        <v>313</v>
      </c>
      <c r="H64" s="21"/>
      <c r="I64" s="21"/>
      <c r="J64" s="21"/>
      <c r="K64" s="21"/>
      <c r="L64" s="21"/>
      <c r="M64" s="21"/>
      <c r="N64" s="21"/>
      <c r="O64" s="21"/>
      <c r="P64" s="22"/>
      <c r="Q64"/>
      <c r="R64"/>
      <c r="S64"/>
      <c r="T64"/>
      <c r="U64"/>
      <c r="V64"/>
      <c r="W64"/>
      <c r="X64"/>
    </row>
    <row r="65" spans="1:24">
      <c r="A65" s="4"/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2"/>
      <c r="Q65"/>
      <c r="R65"/>
      <c r="S65"/>
      <c r="T65"/>
      <c r="U65"/>
      <c r="V65"/>
      <c r="W65"/>
      <c r="X65"/>
    </row>
    <row r="66" spans="1:24">
      <c r="A66" s="4"/>
      <c r="B66" s="20"/>
      <c r="C66" s="168" t="s">
        <v>3</v>
      </c>
      <c r="D66" s="168" t="s">
        <v>4</v>
      </c>
      <c r="E66" s="168" t="s">
        <v>5</v>
      </c>
      <c r="F66" s="168" t="s">
        <v>6</v>
      </c>
      <c r="G66" s="168" t="s">
        <v>7</v>
      </c>
      <c r="H66" s="168" t="s">
        <v>13</v>
      </c>
      <c r="I66" s="21"/>
      <c r="J66" s="21"/>
      <c r="K66" s="21"/>
      <c r="L66" s="21"/>
      <c r="M66" s="21"/>
      <c r="N66" s="21"/>
      <c r="O66" s="21"/>
      <c r="P66" s="22"/>
      <c r="Q66"/>
      <c r="R66"/>
      <c r="S66"/>
      <c r="T66"/>
      <c r="U66"/>
      <c r="V66"/>
      <c r="W66"/>
      <c r="X66"/>
    </row>
    <row r="67" spans="1:24">
      <c r="A67" s="4"/>
      <c r="B67" s="20"/>
      <c r="C67" s="27"/>
      <c r="D67" s="28"/>
      <c r="E67" s="28"/>
      <c r="F67" s="28"/>
      <c r="G67" s="28"/>
      <c r="H67" s="302">
        <f>IF(C67&lt;&gt;"",200000000,0)</f>
        <v>0</v>
      </c>
      <c r="I67" s="21"/>
      <c r="J67" s="21"/>
      <c r="K67" s="21"/>
      <c r="L67" s="21"/>
      <c r="M67" s="21"/>
      <c r="N67" s="21"/>
      <c r="O67" s="21"/>
      <c r="P67" s="22"/>
      <c r="Q67"/>
      <c r="R67"/>
      <c r="S67"/>
      <c r="T67"/>
      <c r="U67"/>
      <c r="V67"/>
      <c r="W67"/>
      <c r="X67"/>
    </row>
    <row r="68" spans="1:24">
      <c r="A68" s="4"/>
      <c r="B68" s="20"/>
      <c r="C68" s="2"/>
      <c r="D68" s="2"/>
      <c r="E68" s="2"/>
      <c r="F68" s="2"/>
      <c r="G68" s="2"/>
      <c r="H68" s="2"/>
      <c r="I68" s="21"/>
      <c r="J68" s="21"/>
      <c r="K68" s="21"/>
      <c r="L68" s="21"/>
      <c r="M68" s="21"/>
      <c r="N68" s="21"/>
      <c r="O68" s="21"/>
      <c r="P68" s="22"/>
      <c r="Q68"/>
      <c r="R68"/>
      <c r="S68"/>
      <c r="T68"/>
      <c r="U68"/>
      <c r="V68"/>
      <c r="W68"/>
      <c r="X68"/>
    </row>
    <row r="69" spans="1:24">
      <c r="A69" s="4"/>
      <c r="B69" s="20"/>
      <c r="C69" s="2"/>
      <c r="D69" s="2"/>
      <c r="E69" s="2"/>
      <c r="F69" s="2"/>
      <c r="G69" s="2"/>
      <c r="H69" s="2"/>
      <c r="I69" s="21"/>
      <c r="J69" s="21"/>
      <c r="K69" s="21"/>
      <c r="L69" s="21"/>
      <c r="M69" s="21"/>
      <c r="N69" s="21"/>
      <c r="O69" s="21"/>
      <c r="P69" s="22"/>
      <c r="Q69"/>
      <c r="R69"/>
      <c r="S69"/>
      <c r="T69"/>
      <c r="U69"/>
      <c r="V69"/>
      <c r="W69"/>
      <c r="X69"/>
    </row>
    <row r="70" spans="1:24" ht="23.25">
      <c r="B70" s="64" t="s">
        <v>116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65"/>
      <c r="Q70"/>
      <c r="R70"/>
      <c r="S70"/>
      <c r="T70"/>
      <c r="U70"/>
      <c r="V70"/>
      <c r="W70"/>
      <c r="X70"/>
    </row>
    <row r="71" spans="1:24">
      <c r="B71" s="20"/>
      <c r="C71" s="24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2"/>
      <c r="Q71"/>
      <c r="R71"/>
      <c r="S71"/>
      <c r="T71"/>
      <c r="U71"/>
      <c r="V71"/>
      <c r="W71"/>
      <c r="X71"/>
    </row>
    <row r="72" spans="1:24" ht="24" thickBot="1">
      <c r="A72" s="4"/>
      <c r="B72" s="139"/>
      <c r="C72" s="136" t="s">
        <v>1</v>
      </c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40"/>
      <c r="Q72"/>
      <c r="R72"/>
      <c r="S72"/>
      <c r="T72"/>
      <c r="U72"/>
      <c r="V72"/>
      <c r="W72"/>
      <c r="X72"/>
    </row>
    <row r="73" spans="1:24">
      <c r="A73" s="4"/>
      <c r="B73" s="74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138"/>
      <c r="Q73"/>
      <c r="R73"/>
      <c r="S73"/>
      <c r="T73"/>
      <c r="U73"/>
      <c r="V73"/>
      <c r="W73"/>
      <c r="X73"/>
    </row>
    <row r="74" spans="1:24">
      <c r="A74" s="4"/>
      <c r="B74" s="74"/>
      <c r="C74" s="130" t="s">
        <v>300</v>
      </c>
      <c r="D74" s="130"/>
      <c r="E74" s="130"/>
      <c r="F74" s="130"/>
      <c r="G74" s="130"/>
      <c r="H74" s="131">
        <v>200000000</v>
      </c>
      <c r="I74" s="69"/>
      <c r="J74" s="69"/>
      <c r="K74" s="69"/>
      <c r="L74" s="69"/>
      <c r="M74" s="69"/>
      <c r="N74" s="69"/>
      <c r="O74" s="69"/>
      <c r="P74" s="138"/>
      <c r="Q74"/>
      <c r="R74"/>
      <c r="S74"/>
      <c r="T74"/>
      <c r="U74"/>
      <c r="V74"/>
      <c r="W74"/>
      <c r="X74"/>
    </row>
    <row r="75" spans="1:24">
      <c r="A75" s="4"/>
      <c r="B75" s="74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138"/>
      <c r="Q75"/>
      <c r="R75"/>
      <c r="S75"/>
      <c r="T75"/>
      <c r="U75"/>
      <c r="V75"/>
      <c r="W75"/>
      <c r="X75"/>
    </row>
    <row r="76" spans="1:24">
      <c r="A76" s="4"/>
      <c r="B76" s="74"/>
      <c r="C76" s="133" t="s">
        <v>250</v>
      </c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138"/>
      <c r="Q76"/>
      <c r="R76"/>
      <c r="S76"/>
      <c r="T76"/>
      <c r="U76"/>
      <c r="V76"/>
      <c r="W76"/>
      <c r="X76"/>
    </row>
    <row r="77" spans="1:24">
      <c r="A77" s="4"/>
      <c r="B77" s="74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138"/>
      <c r="Q77"/>
      <c r="R77"/>
      <c r="S77"/>
      <c r="T77"/>
      <c r="U77"/>
      <c r="V77"/>
      <c r="W77"/>
      <c r="X77"/>
    </row>
    <row r="78" spans="1:24" ht="33" customHeight="1">
      <c r="A78" s="4"/>
      <c r="B78" s="74"/>
      <c r="C78" s="69"/>
      <c r="D78" s="167" t="s">
        <v>104</v>
      </c>
      <c r="E78" s="169" t="s">
        <v>157</v>
      </c>
      <c r="F78" s="169" t="s">
        <v>107</v>
      </c>
      <c r="G78" s="169" t="s">
        <v>106</v>
      </c>
      <c r="H78" s="69"/>
      <c r="I78" s="69"/>
      <c r="J78" s="69"/>
      <c r="K78" s="69"/>
      <c r="L78" s="69"/>
      <c r="M78" s="69"/>
      <c r="N78" s="69"/>
      <c r="O78" s="69"/>
      <c r="P78" s="138"/>
      <c r="Q78"/>
      <c r="R78"/>
      <c r="S78"/>
      <c r="T78"/>
      <c r="U78"/>
      <c r="V78"/>
      <c r="W78"/>
      <c r="X78"/>
    </row>
    <row r="79" spans="1:24">
      <c r="A79" s="4"/>
      <c r="B79" s="74"/>
      <c r="C79" s="184"/>
      <c r="D79" s="161" t="s">
        <v>227</v>
      </c>
      <c r="E79" s="158" t="s">
        <v>264</v>
      </c>
      <c r="F79" s="122"/>
      <c r="G79" s="122"/>
      <c r="H79" s="69"/>
      <c r="I79" s="69"/>
      <c r="J79" s="69"/>
      <c r="K79" s="69"/>
      <c r="L79" s="69"/>
      <c r="M79" s="69"/>
      <c r="N79" s="69"/>
      <c r="O79" s="69"/>
      <c r="P79" s="138"/>
      <c r="Q79"/>
      <c r="R79"/>
      <c r="S79"/>
      <c r="T79"/>
      <c r="U79"/>
      <c r="V79"/>
      <c r="W79"/>
      <c r="X79"/>
    </row>
    <row r="80" spans="1:24">
      <c r="A80" s="4"/>
      <c r="B80" s="74"/>
      <c r="C80" s="185" t="s">
        <v>160</v>
      </c>
      <c r="D80" s="162" t="s">
        <v>158</v>
      </c>
      <c r="E80" s="159" t="s">
        <v>263</v>
      </c>
      <c r="F80" s="86" t="s">
        <v>110</v>
      </c>
      <c r="G80" s="86" t="s">
        <v>109</v>
      </c>
      <c r="H80" s="69"/>
      <c r="I80" s="69"/>
      <c r="J80" s="69"/>
      <c r="K80" s="69"/>
      <c r="L80" s="69"/>
      <c r="M80" s="69"/>
      <c r="N80" s="69"/>
      <c r="O80" s="69"/>
      <c r="P80" s="138"/>
      <c r="Q80"/>
      <c r="R80"/>
      <c r="S80"/>
      <c r="T80"/>
      <c r="U80"/>
      <c r="V80"/>
      <c r="W80"/>
      <c r="X80"/>
    </row>
    <row r="81" spans="1:24">
      <c r="A81" s="4"/>
      <c r="B81" s="74"/>
      <c r="C81" s="186"/>
      <c r="D81" s="162" t="s">
        <v>159</v>
      </c>
      <c r="E81" s="160">
        <v>210</v>
      </c>
      <c r="F81" s="87"/>
      <c r="G81" s="87"/>
      <c r="H81" s="69"/>
      <c r="I81" s="69"/>
      <c r="J81" s="69"/>
      <c r="K81" s="69"/>
      <c r="L81" s="69"/>
      <c r="M81" s="69"/>
      <c r="N81" s="69"/>
      <c r="O81" s="69"/>
      <c r="P81" s="138"/>
      <c r="Q81"/>
      <c r="R81"/>
      <c r="S81"/>
      <c r="T81"/>
      <c r="U81"/>
      <c r="V81"/>
      <c r="W81"/>
      <c r="X81"/>
    </row>
    <row r="82" spans="1:24">
      <c r="A82" s="4"/>
      <c r="B82" s="74"/>
      <c r="C82" s="184"/>
      <c r="D82" s="189" t="s">
        <v>227</v>
      </c>
      <c r="E82" s="190" t="s">
        <v>266</v>
      </c>
      <c r="F82" s="191"/>
      <c r="G82" s="191"/>
      <c r="H82" s="69"/>
      <c r="I82" s="69"/>
      <c r="J82" s="69"/>
      <c r="K82" s="69"/>
      <c r="L82" s="69"/>
      <c r="M82" s="69"/>
      <c r="N82" s="69"/>
      <c r="O82" s="69"/>
      <c r="P82" s="138"/>
      <c r="Q82"/>
      <c r="R82"/>
      <c r="S82"/>
      <c r="T82"/>
      <c r="U82"/>
      <c r="V82"/>
      <c r="W82"/>
      <c r="X82"/>
    </row>
    <row r="83" spans="1:24">
      <c r="A83" s="4"/>
      <c r="B83" s="74"/>
      <c r="C83" s="185" t="s">
        <v>108</v>
      </c>
      <c r="D83" s="192" t="s">
        <v>158</v>
      </c>
      <c r="E83" s="193" t="s">
        <v>265</v>
      </c>
      <c r="F83" s="194" t="s">
        <v>110</v>
      </c>
      <c r="G83" s="194" t="s">
        <v>110</v>
      </c>
      <c r="H83" s="69"/>
      <c r="I83" s="69"/>
      <c r="J83" s="69"/>
      <c r="K83" s="69"/>
      <c r="L83" s="69"/>
      <c r="M83" s="69"/>
      <c r="N83" s="69"/>
      <c r="O83" s="69"/>
      <c r="P83" s="138"/>
      <c r="Q83"/>
      <c r="R83"/>
      <c r="S83"/>
      <c r="T83"/>
      <c r="U83"/>
      <c r="V83"/>
      <c r="W83"/>
      <c r="X83"/>
    </row>
    <row r="84" spans="1:24">
      <c r="A84" s="4"/>
      <c r="B84" s="74"/>
      <c r="C84" s="186"/>
      <c r="D84" s="195" t="s">
        <v>159</v>
      </c>
      <c r="E84" s="196">
        <v>225</v>
      </c>
      <c r="F84" s="197"/>
      <c r="G84" s="197"/>
      <c r="H84" s="69"/>
      <c r="I84" s="69"/>
      <c r="J84" s="69"/>
      <c r="K84" s="69"/>
      <c r="L84" s="69"/>
      <c r="M84" s="69"/>
      <c r="N84" s="69"/>
      <c r="O84" s="69"/>
      <c r="P84" s="138"/>
      <c r="Q84"/>
      <c r="R84"/>
      <c r="S84"/>
      <c r="T84"/>
      <c r="U84"/>
      <c r="V84"/>
      <c r="W84"/>
      <c r="X84"/>
    </row>
    <row r="85" spans="1:24">
      <c r="A85" s="4"/>
      <c r="B85" s="74"/>
      <c r="C85" s="184"/>
      <c r="D85" s="161" t="s">
        <v>227</v>
      </c>
      <c r="E85" s="158" t="s">
        <v>267</v>
      </c>
      <c r="F85" s="122"/>
      <c r="G85" s="122"/>
      <c r="H85" s="69"/>
      <c r="I85" s="69"/>
      <c r="J85" s="69"/>
      <c r="K85" s="69"/>
      <c r="L85" s="69"/>
      <c r="M85" s="69"/>
      <c r="N85" s="69"/>
      <c r="O85" s="69"/>
      <c r="P85" s="138"/>
      <c r="Q85"/>
      <c r="R85"/>
      <c r="S85"/>
      <c r="T85"/>
      <c r="U85"/>
      <c r="V85"/>
      <c r="W85"/>
      <c r="X85"/>
    </row>
    <row r="86" spans="1:24">
      <c r="A86" s="4"/>
      <c r="B86" s="74"/>
      <c r="C86" s="185" t="s">
        <v>161</v>
      </c>
      <c r="D86" s="162" t="s">
        <v>158</v>
      </c>
      <c r="E86" s="159" t="s">
        <v>266</v>
      </c>
      <c r="F86" s="86" t="s">
        <v>109</v>
      </c>
      <c r="G86" s="86" t="s">
        <v>109</v>
      </c>
      <c r="H86" s="69"/>
      <c r="I86" s="69"/>
      <c r="J86" s="69"/>
      <c r="K86" s="69"/>
      <c r="L86" s="69"/>
      <c r="M86" s="69"/>
      <c r="N86" s="69"/>
      <c r="O86" s="69"/>
      <c r="P86" s="138"/>
      <c r="Q86"/>
      <c r="R86"/>
      <c r="S86"/>
      <c r="T86"/>
      <c r="U86"/>
      <c r="V86"/>
      <c r="W86"/>
      <c r="X86"/>
    </row>
    <row r="87" spans="1:24">
      <c r="A87" s="4"/>
      <c r="B87" s="74"/>
      <c r="C87" s="186"/>
      <c r="D87" s="163" t="s">
        <v>159</v>
      </c>
      <c r="E87" s="160" t="s">
        <v>268</v>
      </c>
      <c r="F87" s="87"/>
      <c r="G87" s="87"/>
      <c r="H87" s="69"/>
      <c r="I87" s="69"/>
      <c r="J87" s="69"/>
      <c r="K87" s="69"/>
      <c r="L87" s="69"/>
      <c r="M87" s="69"/>
      <c r="N87" s="69"/>
      <c r="O87" s="69"/>
      <c r="P87" s="138"/>
      <c r="Q87"/>
      <c r="R87"/>
      <c r="S87"/>
      <c r="T87"/>
      <c r="U87"/>
      <c r="V87"/>
      <c r="W87"/>
      <c r="X87"/>
    </row>
    <row r="88" spans="1:24">
      <c r="A88" s="4"/>
      <c r="B88" s="74"/>
      <c r="C88" s="69" t="s">
        <v>249</v>
      </c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138"/>
      <c r="Q88"/>
      <c r="R88"/>
      <c r="S88"/>
      <c r="T88"/>
      <c r="U88"/>
      <c r="V88"/>
      <c r="W88"/>
      <c r="X88"/>
    </row>
    <row r="89" spans="1:24">
      <c r="A89" s="4"/>
      <c r="B89" s="74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138"/>
      <c r="Q89"/>
      <c r="R89"/>
      <c r="S89"/>
      <c r="T89"/>
      <c r="U89"/>
      <c r="V89"/>
      <c r="W89"/>
      <c r="X89"/>
    </row>
    <row r="90" spans="1:24">
      <c r="A90" s="4"/>
      <c r="B90" s="20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1"/>
      <c r="P90" s="22"/>
      <c r="Q90"/>
      <c r="R90"/>
      <c r="S90"/>
      <c r="T90"/>
      <c r="U90"/>
      <c r="V90"/>
      <c r="W90"/>
      <c r="X90"/>
    </row>
    <row r="91" spans="1:24">
      <c r="A91" s="4"/>
      <c r="B91" s="20"/>
      <c r="C91" s="56" t="s">
        <v>361</v>
      </c>
      <c r="D91" s="56"/>
      <c r="E91" s="2"/>
      <c r="F91" s="2"/>
      <c r="G91" s="2"/>
      <c r="H91" s="2"/>
      <c r="I91" s="2"/>
      <c r="J91" s="2"/>
      <c r="K91" s="2"/>
      <c r="L91" s="2"/>
      <c r="M91" s="2"/>
      <c r="N91" s="2"/>
      <c r="O91" s="21"/>
      <c r="P91" s="22"/>
      <c r="Q91"/>
      <c r="R91"/>
      <c r="S91"/>
      <c r="T91"/>
      <c r="U91"/>
      <c r="V91"/>
      <c r="W91"/>
      <c r="X91"/>
    </row>
    <row r="92" spans="1:24">
      <c r="B92" s="20"/>
      <c r="C92" s="56" t="s">
        <v>362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2"/>
      <c r="Q92"/>
      <c r="R92"/>
      <c r="S92"/>
      <c r="T92"/>
      <c r="U92"/>
      <c r="V92"/>
      <c r="W92"/>
      <c r="X92"/>
    </row>
    <row r="93" spans="1:24">
      <c r="B93" s="20"/>
      <c r="C93" s="24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2"/>
      <c r="Q93"/>
      <c r="R93"/>
      <c r="S93"/>
      <c r="T93"/>
      <c r="U93"/>
      <c r="V93"/>
      <c r="W93"/>
      <c r="X93"/>
    </row>
    <row r="94" spans="1:24">
      <c r="B94" s="20"/>
      <c r="C94" s="24" t="s">
        <v>103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2"/>
      <c r="Q94"/>
      <c r="R94"/>
      <c r="S94"/>
      <c r="T94"/>
      <c r="U94"/>
      <c r="V94"/>
      <c r="W94"/>
      <c r="X94"/>
    </row>
    <row r="95" spans="1:24">
      <c r="B95" s="20"/>
      <c r="C95" s="24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2"/>
      <c r="Q95"/>
      <c r="R95"/>
      <c r="S95"/>
      <c r="T95"/>
      <c r="U95"/>
      <c r="V95"/>
      <c r="W95"/>
      <c r="X95"/>
    </row>
    <row r="96" spans="1:24">
      <c r="B96" s="20"/>
      <c r="C96" s="168" t="s">
        <v>3</v>
      </c>
      <c r="D96" s="165" t="str">
        <f>'Año 2'!D52</f>
        <v>S3</v>
      </c>
      <c r="E96" s="168" t="s">
        <v>4</v>
      </c>
      <c r="F96" s="165">
        <f>'Año 2'!F52</f>
        <v>0</v>
      </c>
      <c r="G96" s="21"/>
      <c r="H96" s="21"/>
      <c r="I96" s="21"/>
      <c r="J96" s="21"/>
      <c r="K96" s="21"/>
      <c r="L96" s="21"/>
      <c r="M96" s="21"/>
      <c r="N96" s="21"/>
      <c r="O96" s="21"/>
      <c r="P96" s="22"/>
      <c r="Q96"/>
      <c r="R96"/>
      <c r="S96"/>
      <c r="T96"/>
      <c r="U96"/>
      <c r="V96"/>
      <c r="W96"/>
      <c r="X96"/>
    </row>
    <row r="97" spans="2:24">
      <c r="B97" s="20"/>
      <c r="C97" s="2"/>
      <c r="D97" s="2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2"/>
      <c r="Q97"/>
      <c r="R97"/>
      <c r="S97"/>
      <c r="T97"/>
      <c r="U97"/>
      <c r="V97"/>
      <c r="W97"/>
      <c r="X97"/>
    </row>
    <row r="98" spans="2:24">
      <c r="B98" s="20"/>
      <c r="C98" s="168" t="s">
        <v>104</v>
      </c>
      <c r="D98" s="169" t="s">
        <v>157</v>
      </c>
      <c r="E98" s="168" t="s">
        <v>105</v>
      </c>
      <c r="F98" s="168" t="s">
        <v>106</v>
      </c>
      <c r="G98" s="168" t="s">
        <v>117</v>
      </c>
      <c r="H98" s="168" t="s">
        <v>13</v>
      </c>
      <c r="I98" s="21"/>
      <c r="J98" s="21"/>
      <c r="K98" s="21"/>
      <c r="L98" s="21"/>
      <c r="M98" s="21"/>
      <c r="N98" s="21"/>
      <c r="O98" s="21"/>
      <c r="P98" s="22"/>
      <c r="Q98"/>
      <c r="R98"/>
      <c r="S98"/>
      <c r="T98"/>
      <c r="U98"/>
      <c r="V98"/>
      <c r="W98"/>
      <c r="X98"/>
    </row>
    <row r="99" spans="2:24">
      <c r="B99" s="20"/>
      <c r="C99" s="324">
        <f>'Año 2'!C55</f>
        <v>0</v>
      </c>
      <c r="D99" s="325">
        <f>'Año 2'!D55</f>
        <v>0</v>
      </c>
      <c r="E99" s="325">
        <f>'Año 2'!E55</f>
        <v>0</v>
      </c>
      <c r="F99" s="325">
        <f>'Año 2'!F55</f>
        <v>0</v>
      </c>
      <c r="G99" s="28"/>
      <c r="H99" s="302">
        <v>0</v>
      </c>
      <c r="I99" s="21"/>
      <c r="J99" s="21"/>
      <c r="K99" s="21"/>
      <c r="L99" s="21"/>
      <c r="M99" s="21"/>
      <c r="N99" s="21"/>
      <c r="O99" s="21"/>
      <c r="P99" s="22"/>
      <c r="Q99"/>
      <c r="R99"/>
      <c r="S99"/>
      <c r="T99"/>
      <c r="U99"/>
      <c r="V99"/>
      <c r="W99"/>
      <c r="X99"/>
    </row>
    <row r="100" spans="2:24">
      <c r="B100" s="20"/>
      <c r="C100" s="324">
        <f>'Año 2'!C56</f>
        <v>0</v>
      </c>
      <c r="D100" s="325">
        <f>'Año 2'!D56</f>
        <v>0</v>
      </c>
      <c r="E100" s="325">
        <f>'Año 2'!E56</f>
        <v>0</v>
      </c>
      <c r="F100" s="325">
        <f>'Año 2'!F56</f>
        <v>0</v>
      </c>
      <c r="G100" s="28"/>
      <c r="H100" s="21"/>
      <c r="I100" s="21"/>
      <c r="J100" s="21"/>
      <c r="K100" s="21"/>
      <c r="L100" s="21"/>
      <c r="M100" s="21"/>
      <c r="N100" s="21"/>
      <c r="O100" s="21"/>
      <c r="P100" s="22"/>
      <c r="Q100"/>
      <c r="R100"/>
      <c r="S100"/>
      <c r="T100"/>
      <c r="U100"/>
      <c r="V100"/>
      <c r="W100"/>
      <c r="X100"/>
    </row>
    <row r="101" spans="2:24">
      <c r="B101" s="20"/>
      <c r="C101" s="324">
        <f>'Año 2'!C57</f>
        <v>0</v>
      </c>
      <c r="D101" s="325">
        <f>'Año 2'!D57</f>
        <v>0</v>
      </c>
      <c r="E101" s="325">
        <f>'Año 2'!E57</f>
        <v>0</v>
      </c>
      <c r="F101" s="325">
        <f>'Año 2'!F57</f>
        <v>0</v>
      </c>
      <c r="G101" s="28"/>
      <c r="H101" s="21"/>
      <c r="I101" s="21"/>
      <c r="J101" s="21"/>
      <c r="K101" s="21"/>
      <c r="L101" s="21"/>
      <c r="M101" s="21"/>
      <c r="N101" s="21"/>
      <c r="O101" s="21"/>
      <c r="P101" s="22"/>
      <c r="Q101"/>
      <c r="R101"/>
      <c r="S101"/>
      <c r="T101"/>
      <c r="U101"/>
      <c r="V101"/>
      <c r="W101"/>
      <c r="X101"/>
    </row>
    <row r="102" spans="2:24">
      <c r="B102" s="20"/>
      <c r="C102" s="324">
        <f>'Año 2'!C58</f>
        <v>0</v>
      </c>
      <c r="D102" s="325">
        <f>'Año 2'!D58</f>
        <v>0</v>
      </c>
      <c r="E102" s="325">
        <f>'Año 2'!E58</f>
        <v>0</v>
      </c>
      <c r="F102" s="325">
        <f>'Año 2'!F58</f>
        <v>0</v>
      </c>
      <c r="G102" s="28"/>
      <c r="H102" s="21"/>
      <c r="I102" s="21"/>
      <c r="J102" s="21"/>
      <c r="K102" s="21"/>
      <c r="L102" s="21"/>
      <c r="M102" s="21"/>
      <c r="N102" s="21"/>
      <c r="O102" s="21"/>
      <c r="P102" s="22"/>
      <c r="Q102"/>
      <c r="R102"/>
      <c r="S102"/>
      <c r="T102"/>
      <c r="U102"/>
      <c r="V102"/>
      <c r="W102"/>
      <c r="X102"/>
    </row>
    <row r="103" spans="2:24">
      <c r="B103" s="20"/>
      <c r="C103" s="324">
        <f>'Año 2'!C59</f>
        <v>0</v>
      </c>
      <c r="D103" s="325">
        <f>'Año 2'!D59</f>
        <v>0</v>
      </c>
      <c r="E103" s="325">
        <f>'Año 2'!E59</f>
        <v>0</v>
      </c>
      <c r="F103" s="325">
        <f>'Año 2'!F59</f>
        <v>0</v>
      </c>
      <c r="G103" s="28"/>
      <c r="H103" s="21"/>
      <c r="I103" s="21"/>
      <c r="J103" s="21"/>
      <c r="K103" s="21"/>
      <c r="L103" s="21"/>
      <c r="M103" s="21"/>
      <c r="N103" s="21"/>
      <c r="O103" s="21"/>
      <c r="P103" s="22"/>
      <c r="Q103"/>
      <c r="R103"/>
      <c r="S103"/>
      <c r="T103"/>
      <c r="U103"/>
      <c r="V103"/>
      <c r="W103"/>
      <c r="X103"/>
    </row>
    <row r="104" spans="2:24">
      <c r="B104" s="20"/>
      <c r="C104" s="324">
        <f>'Año 2'!C60</f>
        <v>0</v>
      </c>
      <c r="D104" s="325">
        <f>'Año 2'!D60</f>
        <v>0</v>
      </c>
      <c r="E104" s="325">
        <f>'Año 2'!E60</f>
        <v>0</v>
      </c>
      <c r="F104" s="325">
        <f>'Año 2'!F60</f>
        <v>0</v>
      </c>
      <c r="G104" s="28"/>
      <c r="H104" s="21"/>
      <c r="I104" s="21"/>
      <c r="J104" s="21"/>
      <c r="K104" s="21"/>
      <c r="L104" s="21"/>
      <c r="M104" s="21"/>
      <c r="N104" s="21"/>
      <c r="O104" s="21"/>
      <c r="P104" s="22"/>
      <c r="Q104"/>
      <c r="R104"/>
      <c r="S104"/>
      <c r="T104"/>
      <c r="U104"/>
      <c r="V104"/>
      <c r="W104"/>
      <c r="X104"/>
    </row>
    <row r="105" spans="2:24">
      <c r="B105" s="20"/>
      <c r="C105" s="324">
        <f>'Año 2'!C61</f>
        <v>0</v>
      </c>
      <c r="D105" s="325">
        <f>'Año 2'!D61</f>
        <v>0</v>
      </c>
      <c r="E105" s="325">
        <f>'Año 2'!E61</f>
        <v>0</v>
      </c>
      <c r="F105" s="325">
        <f>'Año 2'!F61</f>
        <v>0</v>
      </c>
      <c r="G105" s="28"/>
      <c r="H105" s="21"/>
      <c r="I105" s="21"/>
      <c r="J105" s="21"/>
      <c r="K105" s="21"/>
      <c r="L105" s="21"/>
      <c r="M105" s="21"/>
      <c r="N105" s="21"/>
      <c r="O105" s="21"/>
      <c r="P105" s="22"/>
      <c r="Q105"/>
      <c r="R105"/>
      <c r="S105"/>
      <c r="T105"/>
      <c r="U105"/>
      <c r="V105"/>
      <c r="W105"/>
      <c r="X105"/>
    </row>
    <row r="106" spans="2:24">
      <c r="B106" s="20"/>
      <c r="C106" s="324">
        <f>'Año 2'!C62</f>
        <v>0</v>
      </c>
      <c r="D106" s="325">
        <f>'Año 2'!D62</f>
        <v>0</v>
      </c>
      <c r="E106" s="325">
        <f>'Año 2'!E62</f>
        <v>0</v>
      </c>
      <c r="F106" s="325">
        <f>'Año 2'!F62</f>
        <v>0</v>
      </c>
      <c r="G106" s="28"/>
      <c r="H106" s="21"/>
      <c r="I106" s="21"/>
      <c r="J106" s="21"/>
      <c r="K106" s="21"/>
      <c r="L106" s="21"/>
      <c r="M106" s="21"/>
      <c r="N106" s="21"/>
      <c r="O106" s="21"/>
      <c r="P106" s="22"/>
      <c r="Q106"/>
      <c r="R106"/>
      <c r="S106"/>
      <c r="T106"/>
      <c r="U106"/>
      <c r="V106"/>
      <c r="W106"/>
      <c r="X106"/>
    </row>
    <row r="107" spans="2:24">
      <c r="B107" s="20"/>
      <c r="C107" s="21"/>
      <c r="D107" s="21"/>
      <c r="E107" s="21"/>
      <c r="F107" s="21"/>
      <c r="G107" s="2"/>
      <c r="H107" s="21"/>
      <c r="I107" s="21"/>
      <c r="J107" s="21"/>
      <c r="K107" s="21"/>
      <c r="L107" s="21"/>
      <c r="M107" s="21"/>
      <c r="N107" s="21"/>
      <c r="O107" s="21"/>
      <c r="P107" s="22"/>
      <c r="Q107"/>
      <c r="R107"/>
      <c r="S107"/>
      <c r="T107"/>
      <c r="U107"/>
      <c r="V107"/>
      <c r="W107"/>
      <c r="X107"/>
    </row>
    <row r="108" spans="2:24">
      <c r="B108" s="20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1"/>
      <c r="P108" s="22"/>
      <c r="Q108"/>
      <c r="R108"/>
      <c r="S108"/>
      <c r="T108"/>
      <c r="U108"/>
      <c r="V108"/>
      <c r="W108"/>
      <c r="X108"/>
    </row>
    <row r="109" spans="2:24">
      <c r="B109" s="20"/>
      <c r="C109" s="168" t="s">
        <v>3</v>
      </c>
      <c r="D109" s="165" t="str">
        <f>'Año 2'!D65</f>
        <v>S4</v>
      </c>
      <c r="E109" s="168" t="s">
        <v>4</v>
      </c>
      <c r="F109" s="165">
        <f>'Año 2'!F65</f>
        <v>0</v>
      </c>
      <c r="G109" s="2"/>
      <c r="H109" s="2"/>
      <c r="I109" s="2"/>
      <c r="J109" s="2"/>
      <c r="K109" s="2"/>
      <c r="L109" s="2"/>
      <c r="M109" s="2"/>
      <c r="N109" s="2"/>
      <c r="O109" s="21"/>
      <c r="P109" s="22"/>
      <c r="Q109"/>
      <c r="R109"/>
      <c r="S109"/>
      <c r="T109"/>
      <c r="U109"/>
      <c r="V109"/>
      <c r="W109"/>
      <c r="X109"/>
    </row>
    <row r="110" spans="2:24" ht="15.95" customHeight="1">
      <c r="B110" s="20"/>
      <c r="C110" s="21"/>
      <c r="D110" s="21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1"/>
      <c r="P110" s="22"/>
      <c r="Q110"/>
      <c r="R110"/>
      <c r="S110"/>
      <c r="T110"/>
      <c r="U110"/>
      <c r="V110"/>
      <c r="W110"/>
      <c r="X110"/>
    </row>
    <row r="111" spans="2:24" ht="15.95" customHeight="1">
      <c r="B111" s="20"/>
      <c r="C111" s="168" t="s">
        <v>104</v>
      </c>
      <c r="D111" s="169" t="s">
        <v>157</v>
      </c>
      <c r="E111" s="168" t="s">
        <v>105</v>
      </c>
      <c r="F111" s="168" t="s">
        <v>106</v>
      </c>
      <c r="G111" s="168" t="s">
        <v>117</v>
      </c>
      <c r="H111" s="168" t="s">
        <v>13</v>
      </c>
      <c r="I111" s="2"/>
      <c r="J111" s="2"/>
      <c r="K111" s="2"/>
      <c r="L111" s="2"/>
      <c r="M111" s="2"/>
      <c r="N111" s="2"/>
      <c r="O111" s="21"/>
      <c r="P111" s="22"/>
      <c r="Q111"/>
      <c r="R111"/>
      <c r="S111"/>
      <c r="T111"/>
      <c r="U111"/>
      <c r="V111"/>
      <c r="W111"/>
      <c r="X111"/>
    </row>
    <row r="112" spans="2:24" ht="15.95" customHeight="1">
      <c r="B112" s="1"/>
      <c r="C112" s="324">
        <f>'Año 2'!C68</f>
        <v>0</v>
      </c>
      <c r="D112" s="325">
        <f>'Año 2'!D68</f>
        <v>0</v>
      </c>
      <c r="E112" s="325">
        <f>'Año 2'!E68</f>
        <v>0</v>
      </c>
      <c r="F112" s="325">
        <f>'Año 2'!F68</f>
        <v>0</v>
      </c>
      <c r="G112" s="28"/>
      <c r="H112" s="302">
        <v>0</v>
      </c>
      <c r="I112" s="2"/>
      <c r="J112" s="2"/>
      <c r="K112" s="2"/>
      <c r="L112" s="2"/>
      <c r="M112" s="2"/>
      <c r="N112" s="2"/>
      <c r="O112" s="2"/>
      <c r="P112" s="3"/>
      <c r="Q112"/>
      <c r="R112"/>
      <c r="S112"/>
      <c r="T112"/>
      <c r="U112"/>
      <c r="V112"/>
      <c r="W112"/>
      <c r="X112"/>
    </row>
    <row r="113" spans="2:24" ht="15.95" customHeight="1">
      <c r="B113" s="1"/>
      <c r="C113" s="324">
        <f>'Año 2'!C69</f>
        <v>0</v>
      </c>
      <c r="D113" s="325">
        <f>'Año 2'!D69</f>
        <v>0</v>
      </c>
      <c r="E113" s="325">
        <f>'Año 2'!E69</f>
        <v>0</v>
      </c>
      <c r="F113" s="325">
        <f>'Año 2'!F69</f>
        <v>0</v>
      </c>
      <c r="G113" s="28"/>
      <c r="H113" s="21"/>
      <c r="I113" s="2"/>
      <c r="J113" s="2"/>
      <c r="K113" s="2"/>
      <c r="L113" s="2"/>
      <c r="M113" s="2"/>
      <c r="N113" s="2"/>
      <c r="O113" s="2"/>
      <c r="P113" s="3"/>
      <c r="Q113"/>
      <c r="R113"/>
      <c r="S113"/>
      <c r="T113"/>
      <c r="U113"/>
      <c r="V113"/>
      <c r="W113"/>
      <c r="X113"/>
    </row>
    <row r="114" spans="2:24" ht="15.95" customHeight="1">
      <c r="B114" s="1"/>
      <c r="C114" s="324">
        <f>'Año 2'!C70</f>
        <v>0</v>
      </c>
      <c r="D114" s="325">
        <f>'Año 2'!D70</f>
        <v>0</v>
      </c>
      <c r="E114" s="325">
        <f>'Año 2'!E70</f>
        <v>0</v>
      </c>
      <c r="F114" s="325">
        <f>'Año 2'!F70</f>
        <v>0</v>
      </c>
      <c r="G114" s="28"/>
      <c r="H114" s="21"/>
      <c r="I114" s="2"/>
      <c r="J114" s="2"/>
      <c r="K114" s="2"/>
      <c r="L114" s="2"/>
      <c r="M114" s="2"/>
      <c r="N114" s="2"/>
      <c r="O114" s="2"/>
      <c r="P114" s="3"/>
      <c r="Q114"/>
      <c r="R114"/>
      <c r="S114"/>
      <c r="T114"/>
      <c r="U114"/>
      <c r="V114"/>
      <c r="W114"/>
      <c r="X114"/>
    </row>
    <row r="115" spans="2:24" ht="15.95" customHeight="1">
      <c r="B115" s="1"/>
      <c r="C115" s="324">
        <f>'Año 2'!C71</f>
        <v>0</v>
      </c>
      <c r="D115" s="325">
        <f>'Año 2'!D71</f>
        <v>0</v>
      </c>
      <c r="E115" s="325">
        <f>'Año 2'!E71</f>
        <v>0</v>
      </c>
      <c r="F115" s="325">
        <f>'Año 2'!F71</f>
        <v>0</v>
      </c>
      <c r="G115" s="28"/>
      <c r="H115" s="21"/>
      <c r="I115" s="2"/>
      <c r="J115" s="2"/>
      <c r="K115" s="2"/>
      <c r="L115" s="2"/>
      <c r="M115" s="2"/>
      <c r="N115" s="2"/>
      <c r="O115" s="2"/>
      <c r="P115" s="3"/>
      <c r="Q115"/>
      <c r="R115"/>
      <c r="S115"/>
      <c r="T115"/>
      <c r="U115"/>
      <c r="V115"/>
      <c r="W115"/>
      <c r="X115"/>
    </row>
    <row r="116" spans="2:24" ht="15.95" customHeight="1">
      <c r="B116" s="1"/>
      <c r="C116" s="324">
        <f>'Año 2'!C72</f>
        <v>0</v>
      </c>
      <c r="D116" s="325">
        <f>'Año 2'!D72</f>
        <v>0</v>
      </c>
      <c r="E116" s="325">
        <f>'Año 2'!E72</f>
        <v>0</v>
      </c>
      <c r="F116" s="325">
        <f>'Año 2'!F72</f>
        <v>0</v>
      </c>
      <c r="G116" s="28"/>
      <c r="H116" s="21"/>
      <c r="I116" s="2"/>
      <c r="J116" s="2"/>
      <c r="K116" s="2"/>
      <c r="L116" s="2"/>
      <c r="M116" s="2"/>
      <c r="N116" s="2"/>
      <c r="O116" s="2"/>
      <c r="P116" s="3"/>
      <c r="Q116"/>
      <c r="R116"/>
      <c r="S116"/>
      <c r="T116"/>
      <c r="U116"/>
      <c r="V116"/>
      <c r="W116"/>
      <c r="X116"/>
    </row>
    <row r="117" spans="2:24">
      <c r="B117" s="1"/>
      <c r="C117" s="324">
        <f>'Año 2'!C73</f>
        <v>0</v>
      </c>
      <c r="D117" s="325">
        <f>'Año 2'!D73</f>
        <v>0</v>
      </c>
      <c r="E117" s="325">
        <f>'Año 2'!E73</f>
        <v>0</v>
      </c>
      <c r="F117" s="325">
        <f>'Año 2'!F73</f>
        <v>0</v>
      </c>
      <c r="G117" s="28"/>
      <c r="H117" s="21"/>
      <c r="I117" s="2"/>
      <c r="J117" s="2"/>
      <c r="K117" s="2"/>
      <c r="L117" s="2"/>
      <c r="M117" s="2"/>
      <c r="N117" s="2"/>
      <c r="O117" s="2"/>
      <c r="P117" s="3"/>
      <c r="Q117"/>
      <c r="R117"/>
      <c r="S117"/>
      <c r="T117"/>
      <c r="U117"/>
      <c r="V117"/>
      <c r="W117"/>
      <c r="X117"/>
    </row>
    <row r="118" spans="2:24" ht="15.95" customHeight="1">
      <c r="B118" s="20"/>
      <c r="C118" s="324">
        <f>'Año 2'!C74</f>
        <v>0</v>
      </c>
      <c r="D118" s="325">
        <f>'Año 2'!D74</f>
        <v>0</v>
      </c>
      <c r="E118" s="325">
        <f>'Año 2'!E74</f>
        <v>0</v>
      </c>
      <c r="F118" s="325">
        <f>'Año 2'!F74</f>
        <v>0</v>
      </c>
      <c r="G118" s="28"/>
      <c r="H118" s="21"/>
      <c r="I118" s="2"/>
      <c r="J118" s="2"/>
      <c r="K118" s="2"/>
      <c r="L118" s="2"/>
      <c r="M118" s="2"/>
      <c r="N118" s="2"/>
      <c r="O118" s="21"/>
      <c r="P118" s="22"/>
      <c r="Q118"/>
      <c r="R118"/>
      <c r="S118"/>
      <c r="T118"/>
      <c r="U118"/>
      <c r="V118"/>
      <c r="W118"/>
      <c r="X118"/>
    </row>
    <row r="119" spans="2:24" ht="15.95" customHeight="1">
      <c r="B119" s="20"/>
      <c r="C119" s="324">
        <f>'Año 2'!C75</f>
        <v>0</v>
      </c>
      <c r="D119" s="325">
        <f>'Año 2'!D75</f>
        <v>0</v>
      </c>
      <c r="E119" s="325">
        <f>'Año 2'!E75</f>
        <v>0</v>
      </c>
      <c r="F119" s="325">
        <f>'Año 2'!F75</f>
        <v>0</v>
      </c>
      <c r="G119" s="28"/>
      <c r="H119" s="21"/>
      <c r="I119" s="2"/>
      <c r="J119" s="2"/>
      <c r="K119" s="2"/>
      <c r="L119" s="2"/>
      <c r="M119" s="2"/>
      <c r="N119" s="2"/>
      <c r="O119" s="21"/>
      <c r="P119" s="22"/>
      <c r="Q119"/>
      <c r="R119"/>
      <c r="S119"/>
      <c r="T119"/>
      <c r="U119"/>
      <c r="V119"/>
      <c r="W119"/>
      <c r="X119"/>
    </row>
    <row r="120" spans="2:24">
      <c r="B120" s="20"/>
      <c r="C120" s="21"/>
      <c r="D120" s="21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1"/>
      <c r="P120" s="22"/>
      <c r="Q120"/>
      <c r="R120"/>
      <c r="S120"/>
      <c r="T120"/>
      <c r="U120"/>
      <c r="V120"/>
      <c r="W120"/>
      <c r="X120"/>
    </row>
    <row r="121" spans="2:24" ht="15.95" customHeight="1">
      <c r="B121" s="20"/>
      <c r="C121" s="21"/>
      <c r="D121" s="21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1"/>
      <c r="P121" s="22"/>
      <c r="Q121"/>
      <c r="R121"/>
      <c r="S121"/>
      <c r="T121"/>
      <c r="U121"/>
      <c r="V121"/>
      <c r="W121"/>
      <c r="X121"/>
    </row>
    <row r="122" spans="2:24" ht="15.95" customHeight="1">
      <c r="B122" s="20"/>
      <c r="C122" s="168" t="s">
        <v>3</v>
      </c>
      <c r="D122" s="165" t="str">
        <f>'Año 2'!D78</f>
        <v>S5</v>
      </c>
      <c r="E122" s="168" t="s">
        <v>4</v>
      </c>
      <c r="F122" s="165">
        <f>'Año 2'!F78</f>
        <v>0</v>
      </c>
      <c r="G122" s="2"/>
      <c r="H122" s="2"/>
      <c r="I122" s="2"/>
      <c r="J122" s="2"/>
      <c r="K122" s="2"/>
      <c r="L122" s="2"/>
      <c r="M122" s="2"/>
      <c r="N122" s="2"/>
      <c r="O122" s="21"/>
      <c r="P122" s="22"/>
      <c r="Q122"/>
      <c r="R122"/>
      <c r="S122"/>
      <c r="T122"/>
      <c r="U122"/>
      <c r="V122"/>
      <c r="W122"/>
      <c r="X122"/>
    </row>
    <row r="123" spans="2:24" ht="15.95" customHeight="1">
      <c r="B123" s="20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1"/>
      <c r="P123" s="22"/>
      <c r="Q123"/>
      <c r="R123"/>
      <c r="S123"/>
      <c r="T123"/>
      <c r="U123"/>
      <c r="V123"/>
      <c r="W123"/>
      <c r="X123"/>
    </row>
    <row r="124" spans="2:24" ht="15.95" customHeight="1">
      <c r="B124" s="20"/>
      <c r="C124" s="168" t="s">
        <v>104</v>
      </c>
      <c r="D124" s="169" t="s">
        <v>157</v>
      </c>
      <c r="E124" s="168" t="s">
        <v>105</v>
      </c>
      <c r="F124" s="168" t="s">
        <v>106</v>
      </c>
      <c r="G124" s="168" t="s">
        <v>117</v>
      </c>
      <c r="H124" s="168" t="s">
        <v>13</v>
      </c>
      <c r="I124" s="2"/>
      <c r="J124" s="2"/>
      <c r="K124" s="2"/>
      <c r="L124" s="2"/>
      <c r="M124" s="2"/>
      <c r="N124" s="2"/>
      <c r="O124" s="21"/>
      <c r="P124" s="22"/>
      <c r="Q124"/>
      <c r="R124"/>
      <c r="S124"/>
      <c r="T124"/>
      <c r="U124"/>
      <c r="V124"/>
      <c r="W124"/>
      <c r="X124"/>
    </row>
    <row r="125" spans="2:24">
      <c r="B125" s="20"/>
      <c r="C125" s="324">
        <f>'Año 2'!C81</f>
        <v>0</v>
      </c>
      <c r="D125" s="28">
        <f>'Año 2'!D81</f>
        <v>0</v>
      </c>
      <c r="E125" s="325">
        <f>'Año 2'!E81</f>
        <v>0</v>
      </c>
      <c r="F125" s="325">
        <f>'Año 2'!F81</f>
        <v>0</v>
      </c>
      <c r="G125" s="28"/>
      <c r="H125" s="302">
        <v>0</v>
      </c>
      <c r="I125" s="2"/>
      <c r="J125" s="2"/>
      <c r="K125" s="2"/>
      <c r="L125" s="2"/>
      <c r="M125" s="2"/>
      <c r="N125" s="2"/>
      <c r="O125" s="156"/>
      <c r="P125" s="42"/>
      <c r="Q125"/>
      <c r="R125"/>
      <c r="S125"/>
      <c r="T125"/>
      <c r="U125"/>
      <c r="V125"/>
      <c r="W125"/>
      <c r="X125"/>
    </row>
    <row r="126" spans="2:24">
      <c r="B126" s="1"/>
      <c r="C126" s="324">
        <f>'Año 2'!C82</f>
        <v>0</v>
      </c>
      <c r="D126" s="28">
        <f>'Año 2'!D82</f>
        <v>0</v>
      </c>
      <c r="E126" s="325">
        <f>'Año 2'!E82</f>
        <v>0</v>
      </c>
      <c r="F126" s="325">
        <f>'Año 2'!F82</f>
        <v>0</v>
      </c>
      <c r="G126" s="28"/>
      <c r="H126" s="21"/>
      <c r="I126" s="2"/>
      <c r="J126" s="2"/>
      <c r="K126" s="2"/>
      <c r="L126" s="2"/>
      <c r="M126" s="2"/>
      <c r="N126" s="2"/>
      <c r="O126" s="2"/>
      <c r="P126" s="3"/>
      <c r="Q126"/>
      <c r="R126"/>
      <c r="S126"/>
      <c r="T126"/>
      <c r="U126"/>
      <c r="V126"/>
      <c r="W126"/>
      <c r="X126"/>
    </row>
    <row r="127" spans="2:24">
      <c r="B127" s="1"/>
      <c r="C127" s="324">
        <f>'Año 2'!C83</f>
        <v>0</v>
      </c>
      <c r="D127" s="28">
        <f>'Año 2'!D83</f>
        <v>0</v>
      </c>
      <c r="E127" s="325">
        <f>'Año 2'!E83</f>
        <v>0</v>
      </c>
      <c r="F127" s="325">
        <f>'Año 2'!F83</f>
        <v>0</v>
      </c>
      <c r="G127" s="28"/>
      <c r="H127" s="21"/>
      <c r="I127" s="2"/>
      <c r="J127" s="2"/>
      <c r="K127" s="2"/>
      <c r="L127" s="2"/>
      <c r="M127" s="2"/>
      <c r="N127" s="2"/>
      <c r="O127" s="2"/>
      <c r="P127" s="3"/>
      <c r="Q127"/>
      <c r="R127"/>
      <c r="S127"/>
      <c r="T127"/>
      <c r="U127"/>
      <c r="V127"/>
      <c r="W127"/>
      <c r="X127"/>
    </row>
    <row r="128" spans="2:24">
      <c r="B128" s="20"/>
      <c r="C128" s="324">
        <f>'Año 2'!C84</f>
        <v>0</v>
      </c>
      <c r="D128" s="28">
        <f>'Año 2'!D84</f>
        <v>0</v>
      </c>
      <c r="E128" s="325">
        <f>'Año 2'!E84</f>
        <v>0</v>
      </c>
      <c r="F128" s="325">
        <f>'Año 2'!F84</f>
        <v>0</v>
      </c>
      <c r="G128" s="28"/>
      <c r="H128" s="21"/>
      <c r="I128" s="2"/>
      <c r="J128" s="2"/>
      <c r="K128" s="2"/>
      <c r="L128" s="2"/>
      <c r="M128" s="2"/>
      <c r="N128" s="2"/>
      <c r="O128" s="21"/>
      <c r="P128" s="22"/>
      <c r="Q128"/>
      <c r="R128"/>
      <c r="S128"/>
      <c r="T128"/>
      <c r="U128"/>
      <c r="V128"/>
      <c r="W128"/>
      <c r="X128"/>
    </row>
    <row r="129" spans="2:24">
      <c r="B129" s="20"/>
      <c r="C129" s="324">
        <f>'Año 2'!C85</f>
        <v>0</v>
      </c>
      <c r="D129" s="28">
        <f>'Año 2'!D85</f>
        <v>0</v>
      </c>
      <c r="E129" s="325">
        <f>'Año 2'!E85</f>
        <v>0</v>
      </c>
      <c r="F129" s="325">
        <f>'Año 2'!F85</f>
        <v>0</v>
      </c>
      <c r="G129" s="28"/>
      <c r="H129" s="21"/>
      <c r="I129" s="2"/>
      <c r="J129" s="2"/>
      <c r="K129" s="2"/>
      <c r="L129" s="2"/>
      <c r="M129" s="2"/>
      <c r="N129" s="2"/>
      <c r="O129" s="21"/>
      <c r="P129" s="22"/>
      <c r="Q129"/>
      <c r="R129"/>
      <c r="S129"/>
      <c r="T129"/>
      <c r="U129"/>
      <c r="V129"/>
      <c r="W129"/>
      <c r="X129"/>
    </row>
    <row r="130" spans="2:24">
      <c r="B130" s="20"/>
      <c r="C130" s="324">
        <f>'Año 2'!C86</f>
        <v>0</v>
      </c>
      <c r="D130" s="28">
        <f>'Año 2'!D86</f>
        <v>0</v>
      </c>
      <c r="E130" s="325">
        <f>'Año 2'!E86</f>
        <v>0</v>
      </c>
      <c r="F130" s="325">
        <f>'Año 2'!F86</f>
        <v>0</v>
      </c>
      <c r="G130" s="28"/>
      <c r="H130" s="21"/>
      <c r="I130" s="2"/>
      <c r="J130" s="2"/>
      <c r="K130" s="2"/>
      <c r="L130" s="2"/>
      <c r="M130" s="2"/>
      <c r="N130" s="2"/>
      <c r="O130" s="21"/>
      <c r="P130" s="22"/>
      <c r="Q130"/>
      <c r="R130"/>
      <c r="S130"/>
      <c r="T130"/>
      <c r="U130"/>
      <c r="V130"/>
      <c r="W130"/>
      <c r="X130"/>
    </row>
    <row r="131" spans="2:24">
      <c r="B131" s="20"/>
      <c r="C131" s="324">
        <f>'Año 2'!C87</f>
        <v>0</v>
      </c>
      <c r="D131" s="28">
        <f>'Año 2'!D87</f>
        <v>0</v>
      </c>
      <c r="E131" s="325">
        <f>'Año 2'!E87</f>
        <v>0</v>
      </c>
      <c r="F131" s="325">
        <f>'Año 2'!F87</f>
        <v>0</v>
      </c>
      <c r="G131" s="28"/>
      <c r="H131" s="21"/>
      <c r="I131" s="2"/>
      <c r="J131" s="2"/>
      <c r="K131" s="2"/>
      <c r="L131" s="2"/>
      <c r="M131" s="2"/>
      <c r="N131" s="2"/>
      <c r="O131" s="21"/>
      <c r="P131" s="22"/>
      <c r="Q131"/>
      <c r="R131"/>
      <c r="S131"/>
      <c r="T131"/>
      <c r="U131"/>
      <c r="V131"/>
      <c r="W131"/>
      <c r="X131"/>
    </row>
    <row r="132" spans="2:24">
      <c r="B132" s="20"/>
      <c r="C132" s="324">
        <f>'Año 2'!C88</f>
        <v>0</v>
      </c>
      <c r="D132" s="28">
        <f>'Año 2'!D88</f>
        <v>0</v>
      </c>
      <c r="E132" s="325">
        <f>'Año 2'!E88</f>
        <v>0</v>
      </c>
      <c r="F132" s="325">
        <f>'Año 2'!F88</f>
        <v>0</v>
      </c>
      <c r="G132" s="28"/>
      <c r="H132" s="21"/>
      <c r="I132" s="2"/>
      <c r="J132" s="2"/>
      <c r="K132" s="2"/>
      <c r="L132" s="2"/>
      <c r="M132" s="2"/>
      <c r="N132" s="2"/>
      <c r="O132" s="21"/>
      <c r="P132" s="22"/>
      <c r="Q132"/>
      <c r="R132"/>
      <c r="S132"/>
      <c r="T132"/>
      <c r="U132"/>
      <c r="V132"/>
      <c r="W132"/>
      <c r="X132"/>
    </row>
    <row r="133" spans="2:24">
      <c r="B133" s="20"/>
      <c r="C133" s="21"/>
      <c r="D133" s="21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156"/>
      <c r="P133" s="42"/>
      <c r="Q133"/>
      <c r="R133"/>
      <c r="S133"/>
      <c r="T133"/>
      <c r="U133"/>
      <c r="V133"/>
      <c r="W133"/>
      <c r="X133"/>
    </row>
    <row r="134" spans="2:24">
      <c r="B134" s="20"/>
      <c r="C134" s="168" t="s">
        <v>3</v>
      </c>
      <c r="D134" s="165">
        <f>'Año 2'!C22</f>
        <v>0</v>
      </c>
      <c r="E134" s="168" t="s">
        <v>4</v>
      </c>
      <c r="F134" s="165">
        <f>'Año 2'!D22</f>
        <v>0</v>
      </c>
      <c r="G134" s="2"/>
      <c r="H134" s="2"/>
      <c r="I134" s="2"/>
      <c r="J134" s="2"/>
      <c r="K134" s="2"/>
      <c r="L134" s="2"/>
      <c r="M134" s="2"/>
      <c r="N134" s="2"/>
      <c r="O134" s="25"/>
      <c r="P134" s="43"/>
      <c r="Q134"/>
      <c r="R134"/>
      <c r="S134"/>
      <c r="T134"/>
      <c r="U134"/>
      <c r="V134"/>
      <c r="W134"/>
      <c r="X134"/>
    </row>
    <row r="135" spans="2:24">
      <c r="B135" s="20"/>
      <c r="C135" s="21"/>
      <c r="D135" s="21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5"/>
      <c r="P135" s="43"/>
      <c r="Q135"/>
      <c r="R135"/>
      <c r="S135"/>
      <c r="T135"/>
      <c r="U135"/>
      <c r="V135"/>
      <c r="W135"/>
      <c r="X135"/>
    </row>
    <row r="136" spans="2:24">
      <c r="B136" s="20"/>
      <c r="C136" s="168" t="s">
        <v>104</v>
      </c>
      <c r="D136" s="169" t="s">
        <v>157</v>
      </c>
      <c r="E136" s="168" t="s">
        <v>105</v>
      </c>
      <c r="F136" s="168" t="s">
        <v>106</v>
      </c>
      <c r="G136" s="168" t="s">
        <v>13</v>
      </c>
      <c r="H136" s="2"/>
      <c r="I136" s="2"/>
      <c r="J136" s="2"/>
      <c r="K136" s="2"/>
      <c r="L136" s="2"/>
      <c r="M136" s="2"/>
      <c r="N136" s="2"/>
      <c r="O136" s="25"/>
      <c r="P136" s="43"/>
      <c r="Q136"/>
      <c r="R136"/>
      <c r="S136"/>
      <c r="T136"/>
      <c r="U136"/>
      <c r="V136"/>
      <c r="W136"/>
      <c r="X136"/>
    </row>
    <row r="137" spans="2:24">
      <c r="B137" s="20"/>
      <c r="C137" s="28"/>
      <c r="D137" s="28"/>
      <c r="E137" s="28"/>
      <c r="F137" s="28"/>
      <c r="G137" s="302">
        <f>IF(F134&lt;&gt;0,200000000,0)</f>
        <v>0</v>
      </c>
      <c r="H137" s="2"/>
      <c r="I137" s="2"/>
      <c r="J137" s="2"/>
      <c r="K137" s="2"/>
      <c r="L137" s="2"/>
      <c r="M137" s="2"/>
      <c r="N137" s="2"/>
      <c r="O137" s="25"/>
      <c r="P137" s="43"/>
      <c r="Q137"/>
      <c r="R137"/>
      <c r="S137"/>
      <c r="T137"/>
      <c r="U137"/>
      <c r="V137"/>
      <c r="W137"/>
      <c r="X137"/>
    </row>
    <row r="138" spans="2:24">
      <c r="B138" s="20"/>
      <c r="C138" s="28"/>
      <c r="D138" s="28"/>
      <c r="E138" s="28"/>
      <c r="F138" s="28"/>
      <c r="G138" s="21"/>
      <c r="H138" s="2"/>
      <c r="I138" s="2"/>
      <c r="J138" s="2"/>
      <c r="K138" s="2"/>
      <c r="L138" s="2"/>
      <c r="M138" s="2"/>
      <c r="N138" s="2"/>
      <c r="O138" s="25"/>
      <c r="P138" s="43"/>
      <c r="Q138"/>
      <c r="R138"/>
      <c r="S138"/>
      <c r="T138"/>
      <c r="U138"/>
      <c r="V138"/>
      <c r="W138"/>
      <c r="X138"/>
    </row>
    <row r="139" spans="2:24">
      <c r="B139" s="20"/>
      <c r="C139" s="28"/>
      <c r="D139" s="28"/>
      <c r="E139" s="28"/>
      <c r="F139" s="28"/>
      <c r="G139" s="21"/>
      <c r="H139" s="2"/>
      <c r="I139" s="2"/>
      <c r="J139" s="2"/>
      <c r="K139" s="2"/>
      <c r="L139" s="2"/>
      <c r="M139" s="2"/>
      <c r="N139" s="2"/>
      <c r="O139" s="25"/>
      <c r="P139" s="43"/>
      <c r="Q139"/>
      <c r="R139"/>
      <c r="S139"/>
      <c r="T139"/>
      <c r="U139"/>
      <c r="V139"/>
      <c r="W139"/>
      <c r="X139"/>
    </row>
    <row r="140" spans="2:24">
      <c r="B140" s="20"/>
      <c r="C140" s="28"/>
      <c r="D140" s="28"/>
      <c r="E140" s="28"/>
      <c r="F140" s="28"/>
      <c r="G140" s="21"/>
      <c r="H140" s="2"/>
      <c r="I140" s="2"/>
      <c r="J140" s="2"/>
      <c r="K140" s="2"/>
      <c r="L140" s="2"/>
      <c r="M140" s="2"/>
      <c r="N140" s="2"/>
      <c r="O140" s="25"/>
      <c r="P140" s="43"/>
      <c r="Q140"/>
      <c r="R140"/>
      <c r="S140"/>
      <c r="T140"/>
      <c r="U140"/>
      <c r="V140"/>
      <c r="W140"/>
      <c r="X140"/>
    </row>
    <row r="141" spans="2:24">
      <c r="B141" s="20"/>
      <c r="C141" s="28"/>
      <c r="D141" s="28"/>
      <c r="E141" s="28"/>
      <c r="F141" s="28"/>
      <c r="G141" s="21"/>
      <c r="H141" s="2"/>
      <c r="I141" s="2"/>
      <c r="J141" s="2"/>
      <c r="K141" s="2"/>
      <c r="L141" s="2"/>
      <c r="M141" s="2"/>
      <c r="N141" s="2"/>
      <c r="O141" s="25"/>
      <c r="P141" s="43"/>
      <c r="Q141"/>
      <c r="R141"/>
      <c r="S141"/>
      <c r="T141"/>
      <c r="U141"/>
      <c r="V141"/>
      <c r="W141"/>
      <c r="X141"/>
    </row>
    <row r="142" spans="2:24">
      <c r="B142" s="20"/>
      <c r="C142" s="28"/>
      <c r="D142" s="28"/>
      <c r="E142" s="28"/>
      <c r="F142" s="28"/>
      <c r="G142" s="21"/>
      <c r="H142" s="2"/>
      <c r="I142" s="2"/>
      <c r="J142" s="2"/>
      <c r="K142" s="2"/>
      <c r="L142" s="2"/>
      <c r="M142" s="2"/>
      <c r="N142" s="2"/>
      <c r="O142" s="25"/>
      <c r="P142" s="43"/>
      <c r="Q142"/>
      <c r="R142"/>
      <c r="S142"/>
      <c r="T142"/>
      <c r="U142"/>
      <c r="V142"/>
      <c r="W142"/>
      <c r="X142"/>
    </row>
    <row r="143" spans="2:24">
      <c r="B143" s="20"/>
      <c r="C143" s="28"/>
      <c r="D143" s="28"/>
      <c r="E143" s="28"/>
      <c r="F143" s="28"/>
      <c r="G143" s="21"/>
      <c r="H143" s="2"/>
      <c r="I143" s="2"/>
      <c r="J143" s="2"/>
      <c r="K143" s="2"/>
      <c r="L143" s="2"/>
      <c r="M143" s="2"/>
      <c r="N143" s="2"/>
      <c r="O143" s="21"/>
      <c r="P143" s="22"/>
      <c r="Q143"/>
      <c r="R143"/>
      <c r="S143"/>
      <c r="T143"/>
      <c r="U143"/>
      <c r="V143"/>
      <c r="W143"/>
      <c r="X143"/>
    </row>
    <row r="144" spans="2:24">
      <c r="B144" s="20"/>
      <c r="C144" s="28"/>
      <c r="D144" s="28"/>
      <c r="E144" s="28"/>
      <c r="F144" s="28"/>
      <c r="G144" s="21"/>
      <c r="H144" s="2"/>
      <c r="I144" s="2"/>
      <c r="J144" s="2"/>
      <c r="K144" s="2"/>
      <c r="L144" s="2"/>
      <c r="M144" s="2"/>
      <c r="N144" s="2"/>
      <c r="O144" s="21"/>
      <c r="P144" s="22"/>
      <c r="Q144"/>
      <c r="R144"/>
      <c r="S144"/>
      <c r="T144"/>
      <c r="U144"/>
      <c r="V144"/>
      <c r="W144"/>
      <c r="X144"/>
    </row>
    <row r="145" spans="2:24">
      <c r="B145" s="20"/>
      <c r="C145" s="21"/>
      <c r="D145" s="21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1"/>
      <c r="P145" s="22"/>
      <c r="Q145"/>
      <c r="R145"/>
      <c r="S145"/>
      <c r="T145"/>
      <c r="U145"/>
      <c r="V145"/>
      <c r="W145"/>
      <c r="X145"/>
    </row>
    <row r="146" spans="2:24">
      <c r="B146" s="20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2"/>
      <c r="Q146"/>
      <c r="R146"/>
      <c r="S146"/>
      <c r="T146"/>
      <c r="U146"/>
      <c r="V146"/>
      <c r="W146"/>
      <c r="X146"/>
    </row>
    <row r="147" spans="2:24" ht="23.25">
      <c r="B147" s="64" t="s">
        <v>118</v>
      </c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65"/>
      <c r="Q147"/>
      <c r="R147"/>
      <c r="S147"/>
      <c r="T147"/>
      <c r="U147"/>
      <c r="V147"/>
      <c r="W147"/>
      <c r="X147"/>
    </row>
    <row r="148" spans="2:24">
      <c r="B148" s="20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2"/>
      <c r="Q148"/>
      <c r="R148"/>
      <c r="S148"/>
      <c r="T148"/>
      <c r="U148"/>
      <c r="V148"/>
      <c r="W148"/>
      <c r="X148"/>
    </row>
    <row r="149" spans="2:24">
      <c r="B149" s="20"/>
      <c r="C149" s="56" t="s">
        <v>323</v>
      </c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2"/>
      <c r="Q149"/>
      <c r="R149"/>
      <c r="S149"/>
      <c r="T149"/>
      <c r="U149"/>
      <c r="V149"/>
      <c r="W149"/>
      <c r="X149"/>
    </row>
    <row r="150" spans="2:24">
      <c r="B150" s="20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2"/>
      <c r="Q150"/>
      <c r="R150"/>
      <c r="S150"/>
      <c r="T150"/>
      <c r="U150"/>
      <c r="V150"/>
      <c r="W150"/>
      <c r="X150"/>
    </row>
    <row r="151" spans="2:24">
      <c r="B151" s="20"/>
      <c r="C151" s="32" t="s">
        <v>301</v>
      </c>
      <c r="D151" s="2"/>
      <c r="E151" s="2"/>
      <c r="F151" s="21"/>
      <c r="G151" s="24" t="s">
        <v>218</v>
      </c>
      <c r="H151" s="21"/>
      <c r="I151" s="21"/>
      <c r="J151" s="21"/>
      <c r="K151" s="21"/>
      <c r="L151" s="21"/>
      <c r="M151" s="21"/>
      <c r="N151" s="21"/>
      <c r="O151" s="21"/>
      <c r="P151" s="22"/>
      <c r="Q151"/>
      <c r="R151"/>
      <c r="S151"/>
      <c r="T151"/>
      <c r="U151"/>
      <c r="V151"/>
      <c r="W151"/>
      <c r="X151"/>
    </row>
    <row r="152" spans="2:24">
      <c r="B152" s="20"/>
      <c r="C152" s="2"/>
      <c r="D152" s="2"/>
      <c r="E152" s="2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2"/>
      <c r="Q152"/>
      <c r="R152"/>
      <c r="S152"/>
      <c r="T152"/>
      <c r="U152"/>
      <c r="V152"/>
      <c r="W152"/>
      <c r="X152"/>
    </row>
    <row r="153" spans="2:24" ht="31.5">
      <c r="B153" s="20"/>
      <c r="C153" s="207" t="s">
        <v>102</v>
      </c>
      <c r="D153" s="207" t="s">
        <v>120</v>
      </c>
      <c r="E153" s="207" t="s">
        <v>121</v>
      </c>
      <c r="F153" s="21"/>
      <c r="G153" s="168" t="s">
        <v>3</v>
      </c>
      <c r="H153" s="168" t="s">
        <v>4</v>
      </c>
      <c r="I153" s="168" t="s">
        <v>210</v>
      </c>
      <c r="J153" s="21"/>
      <c r="K153" s="21"/>
      <c r="L153" s="21"/>
      <c r="M153" s="21"/>
      <c r="N153" s="21"/>
      <c r="O153" s="21"/>
      <c r="P153" s="22"/>
      <c r="Q153"/>
      <c r="R153"/>
      <c r="S153"/>
      <c r="T153"/>
      <c r="U153"/>
      <c r="V153"/>
      <c r="W153"/>
      <c r="X153"/>
    </row>
    <row r="154" spans="2:24">
      <c r="B154" s="20"/>
      <c r="C154" s="175" t="s">
        <v>210</v>
      </c>
      <c r="D154" s="28"/>
      <c r="E154" s="49"/>
      <c r="F154" s="21"/>
      <c r="G154" s="175" t="str">
        <f>D96</f>
        <v>S3</v>
      </c>
      <c r="H154" s="175">
        <f>F96</f>
        <v>0</v>
      </c>
      <c r="I154" s="28"/>
      <c r="J154" s="21"/>
      <c r="K154" s="21"/>
      <c r="L154" s="21"/>
      <c r="M154" s="21"/>
      <c r="N154" s="21"/>
      <c r="O154" s="21"/>
      <c r="P154" s="22"/>
      <c r="Q154"/>
      <c r="R154"/>
      <c r="S154"/>
      <c r="T154"/>
      <c r="U154"/>
      <c r="V154"/>
      <c r="W154"/>
      <c r="X154"/>
    </row>
    <row r="155" spans="2:24">
      <c r="B155" s="20"/>
      <c r="C155" s="60"/>
      <c r="D155" s="60"/>
      <c r="E155" s="60"/>
      <c r="F155" s="21"/>
      <c r="G155" s="175" t="str">
        <f>D109</f>
        <v>S4</v>
      </c>
      <c r="H155" s="175">
        <f>F109</f>
        <v>0</v>
      </c>
      <c r="I155" s="28"/>
      <c r="J155" s="21"/>
      <c r="K155" s="21"/>
      <c r="L155" s="21"/>
      <c r="M155" s="21"/>
      <c r="N155" s="21"/>
      <c r="O155" s="21"/>
      <c r="P155" s="22"/>
      <c r="Q155"/>
      <c r="R155"/>
      <c r="S155"/>
      <c r="T155"/>
      <c r="U155"/>
      <c r="V155"/>
      <c r="W155"/>
      <c r="X155"/>
    </row>
    <row r="156" spans="2:24">
      <c r="B156" s="20"/>
      <c r="C156" s="60"/>
      <c r="D156" s="60"/>
      <c r="E156" s="60"/>
      <c r="F156" s="21"/>
      <c r="G156" s="175" t="str">
        <f>D122</f>
        <v>S5</v>
      </c>
      <c r="H156" s="175">
        <f>F122</f>
        <v>0</v>
      </c>
      <c r="I156" s="28"/>
      <c r="J156" s="21"/>
      <c r="K156" s="21"/>
      <c r="L156" s="21"/>
      <c r="M156" s="21"/>
      <c r="N156" s="21"/>
      <c r="O156" s="21"/>
      <c r="P156" s="22"/>
      <c r="Q156"/>
      <c r="R156"/>
      <c r="S156"/>
      <c r="T156"/>
      <c r="U156"/>
      <c r="V156"/>
      <c r="W156"/>
      <c r="X156"/>
    </row>
    <row r="157" spans="2:24">
      <c r="B157" s="20"/>
      <c r="C157" s="24" t="s">
        <v>199</v>
      </c>
      <c r="D157" s="31"/>
      <c r="E157" s="60">
        <v>400</v>
      </c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2"/>
      <c r="Q157"/>
      <c r="R157"/>
      <c r="S157"/>
      <c r="T157"/>
      <c r="U157"/>
      <c r="V157"/>
      <c r="W157"/>
      <c r="X157"/>
    </row>
    <row r="158" spans="2:24">
      <c r="B158" s="20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2"/>
      <c r="Q158"/>
      <c r="R158"/>
      <c r="S158"/>
      <c r="T158"/>
      <c r="U158"/>
      <c r="V158"/>
      <c r="W158"/>
      <c r="X158"/>
    </row>
    <row r="159" spans="2:24">
      <c r="B159" s="20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2"/>
      <c r="Q159"/>
      <c r="R159"/>
      <c r="S159"/>
      <c r="T159"/>
      <c r="U159"/>
      <c r="V159"/>
      <c r="W159"/>
      <c r="X159"/>
    </row>
    <row r="160" spans="2:24" ht="23.25">
      <c r="B160" s="64" t="s">
        <v>124</v>
      </c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65"/>
      <c r="Q160"/>
      <c r="R160"/>
      <c r="S160"/>
      <c r="T160"/>
      <c r="U160"/>
      <c r="V160"/>
      <c r="W160"/>
      <c r="X160"/>
    </row>
    <row r="161" spans="2:24">
      <c r="B161" s="20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2"/>
      <c r="Q161"/>
      <c r="R161"/>
      <c r="S161"/>
      <c r="T161"/>
      <c r="U161"/>
      <c r="V161"/>
      <c r="W161"/>
      <c r="X161"/>
    </row>
    <row r="162" spans="2:24">
      <c r="B162" s="20"/>
      <c r="C162" s="24" t="s">
        <v>125</v>
      </c>
      <c r="D162" s="21"/>
      <c r="E162" s="21"/>
      <c r="F162" s="21"/>
      <c r="G162" s="24" t="s">
        <v>347</v>
      </c>
      <c r="H162" s="21"/>
      <c r="I162" s="21"/>
      <c r="J162" s="2"/>
      <c r="K162" s="2"/>
      <c r="L162" s="2"/>
      <c r="M162" s="2"/>
      <c r="N162" s="2"/>
      <c r="O162" s="21"/>
      <c r="P162" s="22"/>
      <c r="Q162"/>
      <c r="R162"/>
      <c r="S162"/>
      <c r="T162"/>
      <c r="U162"/>
      <c r="V162"/>
      <c r="W162"/>
      <c r="X162"/>
    </row>
    <row r="163" spans="2:24">
      <c r="B163" s="20"/>
      <c r="C163" s="21"/>
      <c r="D163" s="21"/>
      <c r="E163" s="21"/>
      <c r="F163" s="21"/>
      <c r="G163" s="21"/>
      <c r="H163" s="21"/>
      <c r="I163" s="21"/>
      <c r="J163" s="2"/>
      <c r="K163" s="2"/>
      <c r="L163" s="2"/>
      <c r="M163" s="2"/>
      <c r="N163" s="2"/>
      <c r="O163" s="21"/>
      <c r="P163" s="22"/>
      <c r="Q163"/>
      <c r="R163"/>
      <c r="S163"/>
      <c r="T163"/>
      <c r="U163"/>
      <c r="V163"/>
      <c r="W163"/>
      <c r="X163"/>
    </row>
    <row r="164" spans="2:24" ht="31.5">
      <c r="B164" s="20"/>
      <c r="C164" s="207" t="s">
        <v>102</v>
      </c>
      <c r="D164" s="207" t="s">
        <v>126</v>
      </c>
      <c r="E164" s="21"/>
      <c r="F164" s="21"/>
      <c r="G164" s="208" t="s">
        <v>164</v>
      </c>
      <c r="H164" s="209" t="s">
        <v>140</v>
      </c>
      <c r="I164" s="210"/>
      <c r="J164" s="168" t="s">
        <v>317</v>
      </c>
      <c r="K164" s="168" t="s">
        <v>211</v>
      </c>
      <c r="L164" s="168" t="s">
        <v>197</v>
      </c>
      <c r="M164" s="2"/>
      <c r="N164" s="2"/>
      <c r="O164" s="21"/>
      <c r="P164" s="22"/>
      <c r="Q164"/>
      <c r="R164"/>
      <c r="S164"/>
      <c r="T164"/>
      <c r="U164"/>
      <c r="V164"/>
      <c r="W164"/>
      <c r="X164"/>
    </row>
    <row r="165" spans="2:24">
      <c r="B165" s="20"/>
      <c r="C165" s="175" t="s">
        <v>210</v>
      </c>
      <c r="D165" s="28"/>
      <c r="E165" s="21"/>
      <c r="F165" s="21"/>
      <c r="G165" s="30" t="s">
        <v>185</v>
      </c>
      <c r="H165" s="125" t="s">
        <v>189</v>
      </c>
      <c r="I165" s="126"/>
      <c r="J165" s="54">
        <v>179000</v>
      </c>
      <c r="K165" s="50"/>
      <c r="L165" s="302">
        <f>K165*J165</f>
        <v>0</v>
      </c>
      <c r="M165" s="2"/>
      <c r="N165" s="2"/>
      <c r="O165" s="21"/>
      <c r="P165" s="22"/>
      <c r="Q165"/>
      <c r="R165"/>
      <c r="S165"/>
      <c r="T165"/>
      <c r="U165"/>
      <c r="V165"/>
      <c r="W165"/>
      <c r="X165"/>
    </row>
    <row r="166" spans="2:24">
      <c r="B166" s="20"/>
      <c r="C166" s="21"/>
      <c r="D166" s="21"/>
      <c r="E166" s="21"/>
      <c r="F166" s="21"/>
      <c r="G166" s="188" t="s">
        <v>186</v>
      </c>
      <c r="H166" s="245" t="s">
        <v>168</v>
      </c>
      <c r="I166" s="246"/>
      <c r="J166" s="247">
        <v>194000</v>
      </c>
      <c r="K166" s="50"/>
      <c r="L166" s="302">
        <f t="shared" ref="L166:L173" si="0">K166*J166</f>
        <v>0</v>
      </c>
      <c r="M166" s="21"/>
      <c r="N166" s="21"/>
      <c r="O166" s="21"/>
      <c r="P166" s="22"/>
      <c r="Q166"/>
      <c r="R166"/>
      <c r="S166"/>
      <c r="T166"/>
      <c r="U166"/>
      <c r="V166"/>
      <c r="W166"/>
      <c r="X166"/>
    </row>
    <row r="167" spans="2:24">
      <c r="B167" s="20"/>
      <c r="C167" s="56" t="s">
        <v>316</v>
      </c>
      <c r="D167" s="2"/>
      <c r="E167" s="2"/>
      <c r="F167" s="21"/>
      <c r="G167" s="30" t="s">
        <v>187</v>
      </c>
      <c r="H167" s="125" t="s">
        <v>167</v>
      </c>
      <c r="I167" s="126"/>
      <c r="J167" s="54">
        <v>200000</v>
      </c>
      <c r="K167" s="50"/>
      <c r="L167" s="302">
        <f t="shared" si="0"/>
        <v>0</v>
      </c>
      <c r="M167" s="2"/>
      <c r="N167" s="2"/>
      <c r="O167" s="21"/>
      <c r="P167" s="22"/>
      <c r="Q167"/>
      <c r="R167"/>
      <c r="S167"/>
      <c r="T167"/>
      <c r="U167"/>
      <c r="V167"/>
      <c r="W167"/>
      <c r="X167"/>
    </row>
    <row r="168" spans="2:24">
      <c r="B168" s="20"/>
      <c r="C168" s="2"/>
      <c r="D168" s="2"/>
      <c r="E168" s="2"/>
      <c r="F168" s="21"/>
      <c r="G168" s="188" t="s">
        <v>188</v>
      </c>
      <c r="H168" s="245" t="s">
        <v>162</v>
      </c>
      <c r="I168" s="246"/>
      <c r="J168" s="247">
        <v>190000</v>
      </c>
      <c r="K168" s="50"/>
      <c r="L168" s="302">
        <f t="shared" si="0"/>
        <v>0</v>
      </c>
      <c r="M168" s="2"/>
      <c r="N168" s="2"/>
      <c r="O168" s="21"/>
      <c r="P168" s="22"/>
      <c r="Q168"/>
      <c r="R168"/>
      <c r="S168"/>
      <c r="T168"/>
      <c r="U168"/>
      <c r="V168"/>
      <c r="W168"/>
      <c r="X168"/>
    </row>
    <row r="169" spans="2:24">
      <c r="B169" s="20"/>
      <c r="C169" s="2"/>
      <c r="D169" s="2"/>
      <c r="E169" s="2"/>
      <c r="F169" s="60"/>
      <c r="G169" s="30" t="s">
        <v>170</v>
      </c>
      <c r="H169" s="125" t="s">
        <v>163</v>
      </c>
      <c r="I169" s="126"/>
      <c r="J169" s="54">
        <v>220000</v>
      </c>
      <c r="K169" s="50"/>
      <c r="L169" s="302">
        <f t="shared" si="0"/>
        <v>0</v>
      </c>
      <c r="M169" s="2"/>
      <c r="N169" s="2"/>
      <c r="O169" s="21"/>
      <c r="P169" s="22"/>
      <c r="Q169"/>
      <c r="R169"/>
      <c r="S169"/>
      <c r="T169"/>
      <c r="U169"/>
      <c r="V169"/>
      <c r="W169"/>
      <c r="X169"/>
    </row>
    <row r="170" spans="2:24">
      <c r="B170" s="20"/>
      <c r="C170" s="2"/>
      <c r="D170" s="2"/>
      <c r="E170" s="2"/>
      <c r="F170" s="60"/>
      <c r="G170" s="188" t="s">
        <v>172</v>
      </c>
      <c r="H170" s="245" t="s">
        <v>166</v>
      </c>
      <c r="I170" s="246"/>
      <c r="J170" s="247">
        <v>210000</v>
      </c>
      <c r="K170" s="50"/>
      <c r="L170" s="302">
        <f t="shared" si="0"/>
        <v>0</v>
      </c>
      <c r="M170" s="2"/>
      <c r="N170" s="2"/>
      <c r="O170" s="21"/>
      <c r="P170" s="22"/>
      <c r="Q170"/>
      <c r="R170"/>
      <c r="S170"/>
      <c r="T170"/>
      <c r="U170"/>
      <c r="V170"/>
      <c r="W170"/>
      <c r="X170"/>
    </row>
    <row r="171" spans="2:24">
      <c r="B171" s="20"/>
      <c r="C171" s="2"/>
      <c r="D171" s="2"/>
      <c r="E171" s="2"/>
      <c r="F171" s="60"/>
      <c r="G171" s="30" t="s">
        <v>119</v>
      </c>
      <c r="H171" s="125" t="s">
        <v>190</v>
      </c>
      <c r="I171" s="126"/>
      <c r="J171" s="54">
        <v>220000</v>
      </c>
      <c r="K171" s="50"/>
      <c r="L171" s="302">
        <f t="shared" si="0"/>
        <v>0</v>
      </c>
      <c r="M171" s="2"/>
      <c r="N171" s="2"/>
      <c r="O171" s="21"/>
      <c r="P171" s="22"/>
      <c r="Q171"/>
      <c r="R171"/>
      <c r="S171"/>
      <c r="T171"/>
      <c r="U171"/>
      <c r="V171"/>
      <c r="W171"/>
      <c r="X171"/>
    </row>
    <row r="172" spans="2:24">
      <c r="B172" s="20"/>
      <c r="C172" s="2"/>
      <c r="D172" s="2"/>
      <c r="E172" s="2"/>
      <c r="F172" s="60"/>
      <c r="G172" s="188" t="s">
        <v>173</v>
      </c>
      <c r="H172" s="245" t="s">
        <v>169</v>
      </c>
      <c r="I172" s="246"/>
      <c r="J172" s="247">
        <v>210000</v>
      </c>
      <c r="K172" s="50"/>
      <c r="L172" s="302">
        <f t="shared" si="0"/>
        <v>0</v>
      </c>
      <c r="M172" s="2"/>
      <c r="N172" s="2"/>
      <c r="O172" s="21"/>
      <c r="P172" s="22"/>
      <c r="Q172"/>
      <c r="R172"/>
      <c r="S172"/>
      <c r="T172"/>
      <c r="U172"/>
      <c r="V172"/>
      <c r="W172"/>
      <c r="X172"/>
    </row>
    <row r="173" spans="2:24">
      <c r="B173" s="20"/>
      <c r="C173" s="2"/>
      <c r="D173" s="2"/>
      <c r="E173" s="2"/>
      <c r="F173" s="60"/>
      <c r="G173" s="123" t="s">
        <v>171</v>
      </c>
      <c r="H173" s="125" t="s">
        <v>165</v>
      </c>
      <c r="I173" s="126"/>
      <c r="J173" s="124">
        <v>300000</v>
      </c>
      <c r="K173" s="50"/>
      <c r="L173" s="302">
        <f t="shared" si="0"/>
        <v>0</v>
      </c>
      <c r="M173" s="2"/>
      <c r="N173" s="2"/>
      <c r="O173" s="21"/>
      <c r="P173" s="22"/>
      <c r="Q173"/>
      <c r="R173"/>
      <c r="S173"/>
      <c r="T173"/>
      <c r="U173"/>
      <c r="V173"/>
      <c r="W173"/>
      <c r="X173"/>
    </row>
    <row r="174" spans="2:24">
      <c r="B174" s="20"/>
      <c r="C174" s="2"/>
      <c r="D174" s="2"/>
      <c r="E174" s="2"/>
      <c r="F174" s="60"/>
      <c r="G174" s="2"/>
      <c r="H174" s="2"/>
      <c r="I174" s="202"/>
      <c r="J174" s="202"/>
      <c r="K174" s="211" t="s">
        <v>348</v>
      </c>
      <c r="L174" s="303">
        <f>SUM(L165:L173)</f>
        <v>0</v>
      </c>
      <c r="M174" s="2"/>
      <c r="N174" s="2"/>
      <c r="O174" s="21"/>
      <c r="P174" s="22"/>
      <c r="Q174"/>
      <c r="R174"/>
      <c r="S174"/>
      <c r="T174"/>
      <c r="U174"/>
      <c r="V174"/>
      <c r="W174"/>
      <c r="X174"/>
    </row>
    <row r="175" spans="2:24">
      <c r="B175" s="20"/>
      <c r="C175" s="2"/>
      <c r="D175" s="2"/>
      <c r="E175" s="2"/>
      <c r="F175" s="60"/>
      <c r="G175" s="2"/>
      <c r="H175" s="2"/>
      <c r="I175" s="21"/>
      <c r="J175" s="2"/>
      <c r="K175" s="2"/>
      <c r="L175" s="2"/>
      <c r="M175" s="2"/>
      <c r="N175" s="2"/>
      <c r="O175" s="21"/>
      <c r="P175" s="22"/>
      <c r="Q175"/>
      <c r="R175"/>
      <c r="S175"/>
      <c r="T175"/>
      <c r="U175"/>
      <c r="V175"/>
      <c r="W175"/>
      <c r="X175"/>
    </row>
    <row r="176" spans="2:24">
      <c r="B176" s="20"/>
      <c r="C176" s="2"/>
      <c r="D176" s="2"/>
      <c r="E176" s="2"/>
      <c r="F176" s="60"/>
      <c r="G176" s="2"/>
      <c r="H176" s="21"/>
      <c r="I176" s="2"/>
      <c r="J176" s="2"/>
      <c r="K176" s="2"/>
      <c r="L176" s="2"/>
      <c r="M176" s="2"/>
      <c r="N176" s="2"/>
      <c r="O176" s="21"/>
      <c r="P176" s="22"/>
      <c r="Q176"/>
      <c r="R176"/>
      <c r="S176"/>
      <c r="T176"/>
      <c r="U176"/>
      <c r="V176"/>
      <c r="W176"/>
      <c r="X176"/>
    </row>
    <row r="177" spans="2:24" ht="23.25">
      <c r="B177" s="64" t="s">
        <v>129</v>
      </c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65"/>
      <c r="Q177"/>
      <c r="R177"/>
      <c r="S177"/>
      <c r="T177"/>
      <c r="U177"/>
      <c r="V177"/>
      <c r="W177"/>
      <c r="X177"/>
    </row>
    <row r="178" spans="2:24">
      <c r="B178" s="20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2"/>
      <c r="Q178"/>
      <c r="R178"/>
      <c r="S178"/>
      <c r="T178"/>
      <c r="U178"/>
      <c r="V178"/>
      <c r="W178"/>
      <c r="X178"/>
    </row>
    <row r="179" spans="2:24">
      <c r="B179" s="20"/>
      <c r="C179" s="32" t="s">
        <v>148</v>
      </c>
      <c r="D179" s="2"/>
      <c r="E179" s="2"/>
      <c r="F179" s="60"/>
      <c r="G179" s="21"/>
      <c r="H179" s="21"/>
      <c r="I179" s="21"/>
      <c r="J179" s="21"/>
      <c r="K179" s="21"/>
      <c r="L179" s="21"/>
      <c r="M179" s="21"/>
      <c r="N179" s="21"/>
      <c r="O179" s="21"/>
      <c r="P179" s="22"/>
      <c r="Q179"/>
      <c r="R179"/>
      <c r="S179"/>
      <c r="T179"/>
      <c r="U179"/>
      <c r="V179"/>
      <c r="W179"/>
      <c r="X179"/>
    </row>
    <row r="180" spans="2:24" ht="23.25">
      <c r="B180" s="20"/>
      <c r="C180" s="2"/>
      <c r="D180" s="2"/>
      <c r="E180" s="2"/>
      <c r="F180" s="61"/>
      <c r="G180" s="21"/>
      <c r="H180" s="21"/>
      <c r="I180" s="21"/>
      <c r="J180" s="21"/>
      <c r="K180" s="21"/>
      <c r="L180" s="21"/>
      <c r="M180" s="21"/>
      <c r="N180" s="21"/>
      <c r="O180" s="21"/>
      <c r="P180" s="22"/>
      <c r="Q180"/>
      <c r="R180"/>
      <c r="S180"/>
      <c r="T180"/>
      <c r="U180"/>
      <c r="V180"/>
      <c r="W180"/>
      <c r="X180"/>
    </row>
    <row r="181" spans="2:24">
      <c r="B181" s="20"/>
      <c r="C181" s="169" t="s">
        <v>130</v>
      </c>
      <c r="D181" s="350" t="s">
        <v>127</v>
      </c>
      <c r="E181" s="351"/>
      <c r="F181" s="169" t="s">
        <v>128</v>
      </c>
      <c r="G181" s="169" t="s">
        <v>131</v>
      </c>
      <c r="H181" s="169" t="s">
        <v>197</v>
      </c>
      <c r="I181" s="2"/>
      <c r="J181" s="2"/>
      <c r="K181" s="2"/>
      <c r="L181" s="2"/>
      <c r="M181" s="2"/>
      <c r="N181" s="2"/>
      <c r="O181" s="21"/>
      <c r="P181" s="22"/>
      <c r="Q181"/>
      <c r="R181"/>
      <c r="S181"/>
      <c r="T181"/>
      <c r="U181"/>
      <c r="V181"/>
      <c r="W181"/>
      <c r="X181"/>
    </row>
    <row r="182" spans="2:24" ht="15.95" customHeight="1">
      <c r="B182" s="20"/>
      <c r="C182" s="57">
        <v>1</v>
      </c>
      <c r="D182" s="125" t="s">
        <v>174</v>
      </c>
      <c r="E182" s="126"/>
      <c r="F182" s="41">
        <v>456000</v>
      </c>
      <c r="G182" s="27"/>
      <c r="H182" s="302">
        <f t="shared" ref="H182:H188" si="1">IF(G182="Sí",F182,0)</f>
        <v>0</v>
      </c>
      <c r="I182" s="2"/>
      <c r="J182" s="2"/>
      <c r="K182" s="2"/>
      <c r="L182" s="2"/>
      <c r="M182" s="2"/>
      <c r="N182" s="2"/>
      <c r="O182" s="21"/>
      <c r="P182" s="22"/>
      <c r="Q182"/>
      <c r="R182"/>
      <c r="S182"/>
      <c r="T182"/>
      <c r="U182"/>
      <c r="V182"/>
      <c r="W182"/>
      <c r="X182"/>
    </row>
    <row r="183" spans="2:24" ht="15.95" customHeight="1">
      <c r="B183" s="20"/>
      <c r="C183" s="248">
        <v>2</v>
      </c>
      <c r="D183" s="245" t="s">
        <v>175</v>
      </c>
      <c r="E183" s="246"/>
      <c r="F183" s="198">
        <v>370000</v>
      </c>
      <c r="G183" s="27"/>
      <c r="H183" s="302">
        <f t="shared" si="1"/>
        <v>0</v>
      </c>
      <c r="I183" s="2"/>
      <c r="J183" s="2"/>
      <c r="K183" s="2"/>
      <c r="L183" s="2"/>
      <c r="M183" s="2"/>
      <c r="N183" s="2"/>
      <c r="O183" s="21"/>
      <c r="P183" s="22"/>
      <c r="Q183"/>
      <c r="R183"/>
      <c r="S183"/>
      <c r="T183"/>
      <c r="U183"/>
      <c r="V183"/>
      <c r="W183"/>
      <c r="X183"/>
    </row>
    <row r="184" spans="2:24" ht="15.95" customHeight="1">
      <c r="B184" s="20"/>
      <c r="C184" s="57">
        <v>3</v>
      </c>
      <c r="D184" s="125" t="s">
        <v>176</v>
      </c>
      <c r="E184" s="126"/>
      <c r="F184" s="41">
        <v>410000</v>
      </c>
      <c r="G184" s="27"/>
      <c r="H184" s="302">
        <f t="shared" si="1"/>
        <v>0</v>
      </c>
      <c r="I184" s="2"/>
      <c r="J184" s="2"/>
      <c r="K184" s="2"/>
      <c r="L184" s="2"/>
      <c r="M184" s="2"/>
      <c r="N184" s="2"/>
      <c r="O184" s="21"/>
      <c r="P184" s="22"/>
      <c r="Q184"/>
      <c r="R184"/>
      <c r="S184"/>
      <c r="T184"/>
      <c r="U184"/>
      <c r="V184"/>
      <c r="W184"/>
      <c r="X184"/>
    </row>
    <row r="185" spans="2:24" ht="15.95" customHeight="1">
      <c r="B185" s="20"/>
      <c r="C185" s="248">
        <v>4</v>
      </c>
      <c r="D185" s="245" t="s">
        <v>177</v>
      </c>
      <c r="E185" s="246"/>
      <c r="F185" s="198">
        <v>194000</v>
      </c>
      <c r="G185" s="27"/>
      <c r="H185" s="302">
        <f t="shared" si="1"/>
        <v>0</v>
      </c>
      <c r="I185" s="2"/>
      <c r="J185" s="2"/>
      <c r="K185" s="2"/>
      <c r="L185" s="2"/>
      <c r="M185" s="2"/>
      <c r="N185" s="2"/>
      <c r="O185" s="21"/>
      <c r="P185" s="22"/>
      <c r="Q185"/>
      <c r="R185"/>
      <c r="S185"/>
      <c r="T185"/>
      <c r="U185"/>
      <c r="V185"/>
      <c r="W185"/>
      <c r="X185"/>
    </row>
    <row r="186" spans="2:24" ht="15.95" customHeight="1">
      <c r="B186" s="20"/>
      <c r="C186" s="57">
        <v>5</v>
      </c>
      <c r="D186" s="125" t="s">
        <v>178</v>
      </c>
      <c r="E186" s="126"/>
      <c r="F186" s="41">
        <v>260000</v>
      </c>
      <c r="G186" s="27"/>
      <c r="H186" s="302">
        <f t="shared" si="1"/>
        <v>0</v>
      </c>
      <c r="I186" s="2"/>
      <c r="J186" s="2"/>
      <c r="K186" s="2"/>
      <c r="L186" s="2"/>
      <c r="M186" s="2"/>
      <c r="N186" s="2"/>
      <c r="O186" s="21"/>
      <c r="P186" s="22"/>
      <c r="Q186"/>
      <c r="R186"/>
      <c r="S186"/>
      <c r="T186"/>
      <c r="U186"/>
      <c r="V186"/>
      <c r="W186"/>
      <c r="X186"/>
    </row>
    <row r="187" spans="2:24" ht="15.95" customHeight="1">
      <c r="B187" s="20"/>
      <c r="C187" s="248">
        <v>6</v>
      </c>
      <c r="D187" s="245" t="s">
        <v>179</v>
      </c>
      <c r="E187" s="246"/>
      <c r="F187" s="198">
        <v>510000</v>
      </c>
      <c r="G187" s="27"/>
      <c r="H187" s="302">
        <f t="shared" si="1"/>
        <v>0</v>
      </c>
      <c r="I187" s="2"/>
      <c r="J187" s="2"/>
      <c r="K187" s="2"/>
      <c r="L187" s="2"/>
      <c r="M187" s="2"/>
      <c r="N187" s="2"/>
      <c r="O187" s="21"/>
      <c r="P187" s="22"/>
      <c r="Q187"/>
      <c r="R187"/>
      <c r="S187"/>
      <c r="T187"/>
      <c r="U187"/>
      <c r="V187"/>
      <c r="W187"/>
      <c r="X187"/>
    </row>
    <row r="188" spans="2:24" ht="15.95" customHeight="1">
      <c r="B188" s="20"/>
      <c r="C188" s="57">
        <v>7</v>
      </c>
      <c r="D188" s="125" t="s">
        <v>180</v>
      </c>
      <c r="E188" s="126"/>
      <c r="F188" s="148">
        <v>432000</v>
      </c>
      <c r="G188" s="149"/>
      <c r="H188" s="302">
        <f t="shared" si="1"/>
        <v>0</v>
      </c>
      <c r="I188" s="2"/>
      <c r="J188" s="2"/>
      <c r="K188" s="2"/>
      <c r="L188" s="2"/>
      <c r="M188" s="2"/>
      <c r="N188" s="2"/>
      <c r="O188" s="21"/>
      <c r="P188" s="22"/>
      <c r="Q188"/>
      <c r="R188"/>
      <c r="S188"/>
      <c r="T188"/>
      <c r="U188"/>
      <c r="V188"/>
      <c r="W188"/>
      <c r="X188"/>
    </row>
    <row r="189" spans="2:24">
      <c r="B189" s="20"/>
      <c r="C189" s="2"/>
      <c r="D189" s="21"/>
      <c r="E189" s="202"/>
      <c r="F189" s="202"/>
      <c r="G189" s="211" t="s">
        <v>346</v>
      </c>
      <c r="H189" s="303">
        <f>SUM(H182:H188)</f>
        <v>0</v>
      </c>
      <c r="I189" s="2"/>
      <c r="J189" s="2"/>
      <c r="K189" s="2"/>
      <c r="L189" s="2"/>
      <c r="M189" s="2"/>
      <c r="N189" s="2"/>
      <c r="O189" s="21"/>
      <c r="P189" s="22"/>
      <c r="Q189"/>
      <c r="R189"/>
      <c r="S189"/>
      <c r="T189"/>
      <c r="U189"/>
      <c r="V189"/>
      <c r="W189"/>
      <c r="X189"/>
    </row>
    <row r="190" spans="2:24">
      <c r="B190" s="20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2"/>
      <c r="Q190"/>
      <c r="R190"/>
      <c r="S190"/>
      <c r="T190"/>
      <c r="U190"/>
      <c r="V190"/>
      <c r="W190"/>
      <c r="X190"/>
    </row>
    <row r="191" spans="2:24">
      <c r="B191" s="20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2"/>
      <c r="Q191"/>
      <c r="R191"/>
      <c r="S191"/>
      <c r="T191"/>
      <c r="U191"/>
      <c r="V191"/>
      <c r="W191"/>
      <c r="X191"/>
    </row>
    <row r="192" spans="2:24" ht="23.25">
      <c r="B192" s="64" t="s">
        <v>217</v>
      </c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65"/>
      <c r="Q192"/>
      <c r="R192"/>
      <c r="S192"/>
      <c r="T192"/>
      <c r="U192"/>
      <c r="V192"/>
      <c r="W192"/>
      <c r="X192"/>
    </row>
    <row r="193" spans="1:24">
      <c r="B193" s="20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2"/>
      <c r="Q193"/>
      <c r="R193"/>
      <c r="S193"/>
      <c r="T193"/>
      <c r="U193"/>
      <c r="V193"/>
      <c r="W193"/>
      <c r="X193"/>
    </row>
    <row r="194" spans="1:24" ht="24" thickBot="1">
      <c r="A194" s="4"/>
      <c r="B194" s="139"/>
      <c r="C194" s="136" t="s">
        <v>1</v>
      </c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40"/>
      <c r="Q194"/>
      <c r="R194"/>
      <c r="S194"/>
      <c r="T194"/>
      <c r="U194"/>
      <c r="V194"/>
      <c r="W194"/>
      <c r="X194"/>
    </row>
    <row r="195" spans="1:24">
      <c r="A195" s="4"/>
      <c r="B195" s="74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138"/>
      <c r="Q195"/>
      <c r="R195"/>
      <c r="S195"/>
      <c r="T195"/>
      <c r="U195"/>
      <c r="V195"/>
      <c r="W195"/>
      <c r="X195"/>
    </row>
    <row r="196" spans="1:24">
      <c r="B196" s="74"/>
      <c r="C196" s="130" t="s">
        <v>302</v>
      </c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138"/>
      <c r="Q196"/>
      <c r="R196"/>
      <c r="S196"/>
      <c r="T196"/>
      <c r="U196"/>
      <c r="V196"/>
      <c r="W196"/>
      <c r="X196"/>
    </row>
    <row r="197" spans="1:24">
      <c r="B197" s="74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138"/>
      <c r="Q197"/>
      <c r="R197"/>
      <c r="S197"/>
      <c r="T197"/>
      <c r="U197"/>
      <c r="V197"/>
      <c r="W197"/>
      <c r="X197"/>
    </row>
    <row r="198" spans="1:24" ht="31.5">
      <c r="B198" s="74"/>
      <c r="C198" s="169" t="s">
        <v>95</v>
      </c>
      <c r="D198" s="203" t="s">
        <v>303</v>
      </c>
      <c r="E198" s="203" t="s">
        <v>304</v>
      </c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138"/>
      <c r="Q198"/>
      <c r="R198"/>
      <c r="S198"/>
      <c r="T198"/>
      <c r="U198"/>
      <c r="V198"/>
      <c r="W198"/>
      <c r="X198"/>
    </row>
    <row r="199" spans="1:24">
      <c r="B199" s="74"/>
      <c r="C199" s="66" t="s">
        <v>97</v>
      </c>
      <c r="D199" s="304">
        <v>350000000</v>
      </c>
      <c r="E199" s="304">
        <v>50000000</v>
      </c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138"/>
      <c r="Q199"/>
      <c r="R199"/>
      <c r="S199"/>
      <c r="T199"/>
      <c r="U199"/>
      <c r="V199"/>
      <c r="W199"/>
      <c r="X199"/>
    </row>
    <row r="200" spans="1:24">
      <c r="B200" s="74"/>
      <c r="C200" s="188" t="s">
        <v>98</v>
      </c>
      <c r="D200" s="298">
        <v>550000000</v>
      </c>
      <c r="E200" s="298">
        <v>100000000</v>
      </c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138"/>
      <c r="Q200"/>
      <c r="R200"/>
      <c r="S200"/>
      <c r="T200"/>
      <c r="U200"/>
      <c r="V200"/>
      <c r="W200"/>
      <c r="X200"/>
    </row>
    <row r="201" spans="1:24">
      <c r="B201" s="74"/>
      <c r="C201" s="66" t="s">
        <v>99</v>
      </c>
      <c r="D201" s="304">
        <v>750000000</v>
      </c>
      <c r="E201" s="304">
        <v>150000000</v>
      </c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138"/>
      <c r="Q201"/>
      <c r="R201"/>
      <c r="S201"/>
      <c r="T201"/>
      <c r="U201"/>
      <c r="V201"/>
      <c r="W201"/>
      <c r="X201"/>
    </row>
    <row r="202" spans="1:24">
      <c r="B202" s="74"/>
      <c r="C202" s="188" t="s">
        <v>100</v>
      </c>
      <c r="D202" s="298">
        <v>950000000</v>
      </c>
      <c r="E202" s="298">
        <v>200000000</v>
      </c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138"/>
      <c r="Q202"/>
      <c r="R202"/>
      <c r="S202"/>
      <c r="T202"/>
      <c r="U202"/>
      <c r="V202"/>
      <c r="W202"/>
      <c r="X202"/>
    </row>
    <row r="203" spans="1:24">
      <c r="B203" s="74"/>
      <c r="C203" s="66" t="s">
        <v>101</v>
      </c>
      <c r="D203" s="304">
        <v>1150000000</v>
      </c>
      <c r="E203" s="304">
        <v>250000000</v>
      </c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138"/>
      <c r="Q203"/>
      <c r="R203"/>
      <c r="S203"/>
      <c r="T203"/>
      <c r="U203"/>
      <c r="V203"/>
      <c r="W203"/>
      <c r="X203"/>
    </row>
    <row r="204" spans="1:24">
      <c r="B204" s="74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138"/>
      <c r="Q204"/>
      <c r="R204"/>
      <c r="S204"/>
      <c r="T204"/>
      <c r="U204"/>
      <c r="V204"/>
      <c r="W204"/>
      <c r="X204"/>
    </row>
    <row r="205" spans="1:24">
      <c r="B205" s="20"/>
      <c r="C205" s="333" t="s">
        <v>219</v>
      </c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2"/>
      <c r="Q205"/>
      <c r="R205"/>
      <c r="S205"/>
      <c r="T205"/>
      <c r="U205"/>
      <c r="V205"/>
      <c r="W205"/>
      <c r="X205"/>
    </row>
    <row r="206" spans="1:24">
      <c r="B206" s="20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2"/>
      <c r="Q206"/>
      <c r="R206"/>
      <c r="S206"/>
      <c r="T206"/>
      <c r="U206"/>
      <c r="V206"/>
      <c r="W206"/>
      <c r="X206"/>
    </row>
    <row r="207" spans="1:24">
      <c r="B207" s="20"/>
      <c r="C207" s="32" t="s">
        <v>114</v>
      </c>
      <c r="D207" s="2"/>
      <c r="E207" s="2"/>
      <c r="F207" s="2"/>
      <c r="G207" s="21"/>
      <c r="H207" s="21"/>
      <c r="I207" s="32" t="s">
        <v>115</v>
      </c>
      <c r="J207" s="2"/>
      <c r="K207" s="21"/>
      <c r="L207" s="21"/>
      <c r="M207" s="21"/>
      <c r="N207" s="21"/>
      <c r="O207" s="21"/>
      <c r="P207" s="22"/>
      <c r="Q207"/>
      <c r="R207"/>
      <c r="S207"/>
      <c r="T207"/>
      <c r="U207"/>
      <c r="V207"/>
      <c r="W207"/>
      <c r="X207"/>
    </row>
    <row r="208" spans="1:24">
      <c r="B208" s="20"/>
      <c r="C208" s="2"/>
      <c r="D208" s="2"/>
      <c r="E208" s="2"/>
      <c r="F208" s="2"/>
      <c r="G208" s="21"/>
      <c r="H208" s="21"/>
      <c r="I208" s="2"/>
      <c r="J208" s="2"/>
      <c r="K208" s="2"/>
      <c r="L208" s="2"/>
      <c r="M208" s="2"/>
      <c r="N208" s="2"/>
      <c r="O208" s="21"/>
      <c r="P208" s="22"/>
      <c r="Q208"/>
      <c r="R208"/>
      <c r="S208"/>
      <c r="T208"/>
      <c r="U208"/>
      <c r="V208"/>
      <c r="W208"/>
      <c r="X208"/>
    </row>
    <row r="209" spans="1:25" ht="31.5">
      <c r="B209" s="20"/>
      <c r="C209" s="168" t="s">
        <v>207</v>
      </c>
      <c r="D209" s="207" t="s">
        <v>112</v>
      </c>
      <c r="E209" s="207" t="s">
        <v>113</v>
      </c>
      <c r="F209" s="207" t="s">
        <v>370</v>
      </c>
      <c r="G209" s="207" t="s">
        <v>371</v>
      </c>
      <c r="H209" s="21"/>
      <c r="I209" s="168" t="s">
        <v>207</v>
      </c>
      <c r="J209" s="168" t="s">
        <v>95</v>
      </c>
      <c r="K209" s="168" t="s">
        <v>96</v>
      </c>
      <c r="L209" s="2"/>
      <c r="M209" s="2"/>
      <c r="N209" s="2"/>
      <c r="O209" s="21"/>
      <c r="P209" s="22"/>
      <c r="Q209"/>
      <c r="R209"/>
      <c r="S209"/>
      <c r="T209"/>
      <c r="U209"/>
      <c r="V209"/>
      <c r="W209"/>
      <c r="X209"/>
    </row>
    <row r="210" spans="1:25">
      <c r="B210" s="20"/>
      <c r="C210" s="249">
        <f>'Año 2'!$C$110</f>
        <v>0</v>
      </c>
      <c r="D210" s="249">
        <f>'Año 2'!D110</f>
        <v>0</v>
      </c>
      <c r="E210" s="28">
        <f>D210</f>
        <v>0</v>
      </c>
      <c r="F210" s="258" t="e">
        <f ca="1">_xlfn.IFS(E210=0,0,E210="TR1",350000000,E210="TR2",550000000,E210="TR3",750000000,E210="TR4",950000000,E210="TR5",1150000000)</f>
        <v>#NAME?</v>
      </c>
      <c r="G210" s="258" t="e">
        <f ca="1">_xlfn.IFS(E210=0,0,E210="TR1",50000000,E210="TR2",100000000,E210="TR3",150000000,E210="TR4",200000000,E210="TR5",250000000)</f>
        <v>#NAME?</v>
      </c>
      <c r="H210" s="2"/>
      <c r="I210" s="27"/>
      <c r="J210" s="28"/>
      <c r="K210" s="258">
        <f>_xlfn.IFS(J210="",0,J210="TR1",350000000,J210="TR2",550000000,J210="TR3",750000000,J210="TR4",950000000,J210="TR5",1150000000)</f>
        <v>0</v>
      </c>
      <c r="L210" s="2"/>
      <c r="M210" s="2"/>
      <c r="N210" s="2"/>
      <c r="O210" s="21"/>
      <c r="P210" s="22"/>
      <c r="Q210"/>
      <c r="R210"/>
      <c r="S210"/>
      <c r="T210"/>
      <c r="U210"/>
      <c r="V210"/>
      <c r="W210"/>
      <c r="X210"/>
    </row>
    <row r="211" spans="1:25">
      <c r="B211" s="20"/>
      <c r="C211" s="249">
        <f>'Año 2'!$C$111</f>
        <v>0</v>
      </c>
      <c r="D211" s="249">
        <f>'Año 2'!D111</f>
        <v>0</v>
      </c>
      <c r="E211" s="28">
        <f>D211</f>
        <v>0</v>
      </c>
      <c r="F211" s="258" t="e">
        <f t="shared" ref="F211:F212" ca="1" si="2">_xlfn.IFS(E211=0,0,E211="TR1",350000000,E211="TR2",550000000,E211="TR3",750000000,E211="TR4",950000000,E211="TR5",1150000000)</f>
        <v>#NAME?</v>
      </c>
      <c r="G211" s="258" t="e">
        <f t="shared" ref="G211:G212" ca="1" si="3">_xlfn.IFS(E211=0,0,E211="TR1",50000000,E211="TR2",100000000,E211="TR3",150000000,E211="TR4",200000000,E211="TR5",250000000)</f>
        <v>#NAME?</v>
      </c>
      <c r="H211" s="21"/>
      <c r="I211" s="27"/>
      <c r="J211" s="28"/>
      <c r="K211" s="258">
        <f t="shared" ref="K211:K217" si="4">_xlfn.IFS(J211="",0,J211="TR1",350000000,J211="TR2",550000000,J211="TR3",750000000,J211="TR4",950000000,J211="TR5",1150000000)</f>
        <v>0</v>
      </c>
      <c r="L211" s="2"/>
      <c r="M211" s="2"/>
      <c r="N211" s="2"/>
      <c r="O211" s="21"/>
      <c r="P211" s="22"/>
      <c r="Q211"/>
      <c r="R211"/>
      <c r="S211"/>
      <c r="T211"/>
      <c r="U211"/>
      <c r="V211"/>
      <c r="W211"/>
      <c r="X211"/>
    </row>
    <row r="212" spans="1:25">
      <c r="B212" s="20"/>
      <c r="C212" s="249">
        <f>'Año 2'!$C$112</f>
        <v>0</v>
      </c>
      <c r="D212" s="249">
        <f>'Año 2'!D112</f>
        <v>0</v>
      </c>
      <c r="E212" s="28">
        <f>D212</f>
        <v>0</v>
      </c>
      <c r="F212" s="258" t="e">
        <f t="shared" ca="1" si="2"/>
        <v>#NAME?</v>
      </c>
      <c r="G212" s="258" t="e">
        <f t="shared" ca="1" si="3"/>
        <v>#NAME?</v>
      </c>
      <c r="H212" s="21"/>
      <c r="I212" s="27"/>
      <c r="J212" s="28"/>
      <c r="K212" s="258">
        <f t="shared" si="4"/>
        <v>0</v>
      </c>
      <c r="L212" s="2"/>
      <c r="M212" s="2"/>
      <c r="N212" s="2"/>
      <c r="O212" s="21"/>
      <c r="P212" s="22"/>
      <c r="Q212"/>
      <c r="R212"/>
      <c r="S212"/>
      <c r="T212"/>
      <c r="U212"/>
      <c r="V212"/>
      <c r="W212"/>
      <c r="X212"/>
    </row>
    <row r="213" spans="1:25">
      <c r="B213" s="20"/>
      <c r="C213" s="21"/>
      <c r="D213" s="21"/>
      <c r="E213" s="207" t="s">
        <v>155</v>
      </c>
      <c r="F213" s="258" t="e">
        <f ca="1">F210+F211+F212</f>
        <v>#NAME?</v>
      </c>
      <c r="G213" s="258" t="e">
        <f ca="1">G210+G211+G212</f>
        <v>#NAME?</v>
      </c>
      <c r="H213" s="21"/>
      <c r="I213" s="27"/>
      <c r="J213" s="28"/>
      <c r="K213" s="258">
        <f t="shared" si="4"/>
        <v>0</v>
      </c>
      <c r="L213" s="2"/>
      <c r="M213" s="2"/>
      <c r="N213" s="2"/>
      <c r="O213" s="21"/>
      <c r="P213" s="22"/>
      <c r="Q213"/>
      <c r="R213"/>
      <c r="S213"/>
      <c r="T213"/>
      <c r="U213"/>
      <c r="V213"/>
      <c r="W213"/>
      <c r="X213"/>
    </row>
    <row r="214" spans="1:25">
      <c r="B214" s="20"/>
      <c r="C214" s="21"/>
      <c r="D214" s="21"/>
      <c r="E214" s="21"/>
      <c r="F214" s="21"/>
      <c r="G214" s="21"/>
      <c r="H214" s="21"/>
      <c r="I214" s="27"/>
      <c r="J214" s="28"/>
      <c r="K214" s="258">
        <f t="shared" si="4"/>
        <v>0</v>
      </c>
      <c r="L214" s="2"/>
      <c r="M214" s="2"/>
      <c r="N214" s="2"/>
      <c r="O214" s="21"/>
      <c r="P214" s="22"/>
      <c r="Q214"/>
      <c r="R214"/>
      <c r="S214"/>
      <c r="T214"/>
      <c r="U214"/>
      <c r="V214"/>
      <c r="W214"/>
      <c r="X214"/>
    </row>
    <row r="215" spans="1:25">
      <c r="B215" s="20"/>
      <c r="C215" s="333" t="s">
        <v>368</v>
      </c>
      <c r="D215" s="2"/>
      <c r="E215" s="2"/>
      <c r="F215" s="21"/>
      <c r="G215" s="21"/>
      <c r="H215" s="21"/>
      <c r="I215" s="27"/>
      <c r="J215" s="28"/>
      <c r="K215" s="258">
        <f t="shared" si="4"/>
        <v>0</v>
      </c>
      <c r="L215" s="2"/>
      <c r="M215" s="2"/>
      <c r="N215" s="2"/>
      <c r="O215" s="21"/>
      <c r="P215" s="22"/>
      <c r="Q215"/>
      <c r="R215"/>
      <c r="S215"/>
      <c r="T215"/>
      <c r="U215"/>
      <c r="V215"/>
      <c r="W215"/>
      <c r="X215"/>
    </row>
    <row r="216" spans="1:25">
      <c r="B216" s="20"/>
      <c r="C216" s="334" t="s">
        <v>369</v>
      </c>
      <c r="D216" s="2"/>
      <c r="E216" s="2"/>
      <c r="F216" s="21"/>
      <c r="G216" s="21"/>
      <c r="H216" s="21"/>
      <c r="I216" s="27"/>
      <c r="J216" s="28"/>
      <c r="K216" s="258">
        <f t="shared" si="4"/>
        <v>0</v>
      </c>
      <c r="L216" s="2"/>
      <c r="M216" s="2"/>
      <c r="N216" s="2"/>
      <c r="O216" s="21"/>
      <c r="P216" s="22"/>
      <c r="Q216"/>
      <c r="R216"/>
      <c r="S216"/>
      <c r="T216"/>
      <c r="U216"/>
      <c r="V216"/>
      <c r="W216"/>
      <c r="X216"/>
    </row>
    <row r="217" spans="1:25">
      <c r="B217" s="20"/>
      <c r="C217" s="334" t="s">
        <v>377</v>
      </c>
      <c r="D217" s="2"/>
      <c r="E217" s="2"/>
      <c r="F217" s="21"/>
      <c r="G217" s="21"/>
      <c r="H217" s="21"/>
      <c r="I217" s="27"/>
      <c r="J217" s="28"/>
      <c r="K217" s="258">
        <f t="shared" si="4"/>
        <v>0</v>
      </c>
      <c r="L217" s="2"/>
      <c r="M217" s="2"/>
      <c r="N217" s="2"/>
      <c r="O217" s="21"/>
      <c r="P217" s="22"/>
      <c r="Q217"/>
      <c r="R217"/>
      <c r="S217"/>
      <c r="T217"/>
      <c r="U217"/>
      <c r="V217"/>
      <c r="W217"/>
      <c r="X217"/>
    </row>
    <row r="218" spans="1:25">
      <c r="B218" s="20"/>
      <c r="C218" s="2"/>
      <c r="D218" s="2"/>
      <c r="E218" s="2"/>
      <c r="F218" s="21"/>
      <c r="G218" s="21"/>
      <c r="H218" s="21"/>
      <c r="I218" s="21"/>
      <c r="J218" s="21"/>
      <c r="K218" s="21"/>
      <c r="L218" s="2"/>
      <c r="M218" s="2"/>
      <c r="N218" s="2"/>
      <c r="O218" s="21"/>
      <c r="P218" s="22"/>
      <c r="Q218"/>
      <c r="R218"/>
      <c r="S218"/>
      <c r="T218"/>
      <c r="U218"/>
      <c r="V218"/>
      <c r="W218"/>
      <c r="X218"/>
    </row>
    <row r="219" spans="1:25">
      <c r="B219" s="20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2"/>
      <c r="Q219"/>
      <c r="R219"/>
      <c r="S219"/>
      <c r="T219"/>
      <c r="U219"/>
      <c r="V219"/>
      <c r="W219"/>
      <c r="X219"/>
      <c r="Y219" s="2"/>
    </row>
    <row r="220" spans="1:25" ht="23.25">
      <c r="B220" s="64" t="s">
        <v>305</v>
      </c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65"/>
      <c r="Q220"/>
      <c r="R220"/>
      <c r="S220"/>
      <c r="T220"/>
      <c r="U220"/>
      <c r="V220"/>
      <c r="W220"/>
      <c r="X220"/>
      <c r="Y220" s="2"/>
    </row>
    <row r="221" spans="1:25">
      <c r="B221" s="20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2"/>
      <c r="Q221"/>
      <c r="R221"/>
      <c r="S221"/>
      <c r="T221"/>
      <c r="U221"/>
      <c r="V221"/>
      <c r="W221"/>
      <c r="X221"/>
      <c r="Y221" s="2"/>
    </row>
    <row r="222" spans="1:25" ht="24" thickBot="1">
      <c r="A222" s="4"/>
      <c r="B222" s="139"/>
      <c r="C222" s="136" t="s">
        <v>1</v>
      </c>
      <c r="D222" s="137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40"/>
      <c r="Q222"/>
      <c r="R222"/>
      <c r="S222"/>
      <c r="T222"/>
      <c r="U222"/>
      <c r="V222"/>
      <c r="W222"/>
      <c r="X222"/>
    </row>
    <row r="223" spans="1:25">
      <c r="A223" s="4"/>
      <c r="B223" s="74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138"/>
      <c r="Q223"/>
      <c r="R223"/>
      <c r="S223"/>
      <c r="T223"/>
      <c r="U223"/>
      <c r="V223"/>
      <c r="W223"/>
      <c r="X223"/>
    </row>
    <row r="224" spans="1:25">
      <c r="A224" s="4"/>
      <c r="B224" s="74"/>
      <c r="C224" s="150" t="s">
        <v>280</v>
      </c>
      <c r="D224" s="151"/>
      <c r="E224" s="151"/>
      <c r="F224" s="151"/>
      <c r="G224" s="151"/>
      <c r="H224" s="151"/>
      <c r="I224" s="69"/>
      <c r="J224" s="69"/>
      <c r="K224" s="69"/>
      <c r="L224" s="69"/>
      <c r="M224" s="69"/>
      <c r="N224" s="69"/>
      <c r="O224" s="69"/>
      <c r="P224" s="138"/>
      <c r="Q224"/>
      <c r="R224"/>
      <c r="S224"/>
      <c r="T224"/>
      <c r="U224"/>
      <c r="V224"/>
      <c r="W224"/>
      <c r="X224"/>
    </row>
    <row r="225" spans="1:24">
      <c r="A225" s="4"/>
      <c r="B225" s="74"/>
      <c r="C225" s="150"/>
      <c r="D225" s="151"/>
      <c r="E225" s="151"/>
      <c r="F225" s="151"/>
      <c r="G225" s="151"/>
      <c r="H225" s="151"/>
      <c r="I225" s="69"/>
      <c r="J225" s="69"/>
      <c r="K225" s="69"/>
      <c r="L225" s="69"/>
      <c r="M225" s="69"/>
      <c r="N225" s="69"/>
      <c r="O225" s="69"/>
      <c r="P225" s="138"/>
      <c r="Q225"/>
      <c r="R225"/>
      <c r="S225"/>
      <c r="T225"/>
      <c r="U225"/>
      <c r="V225"/>
      <c r="W225"/>
      <c r="X225"/>
    </row>
    <row r="226" spans="1:24">
      <c r="A226" s="4"/>
      <c r="B226" s="74"/>
      <c r="C226" s="152"/>
      <c r="D226" s="152"/>
      <c r="E226" s="212" t="s">
        <v>232</v>
      </c>
      <c r="F226" s="213"/>
      <c r="G226" s="212" t="s">
        <v>233</v>
      </c>
      <c r="H226" s="213"/>
      <c r="I226" s="212" t="s">
        <v>234</v>
      </c>
      <c r="J226" s="213"/>
      <c r="K226" s="212" t="s">
        <v>270</v>
      </c>
      <c r="L226" s="213"/>
      <c r="M226" s="69"/>
      <c r="N226" s="69"/>
      <c r="O226" s="69"/>
      <c r="P226" s="138"/>
      <c r="Q226"/>
      <c r="R226"/>
      <c r="S226"/>
      <c r="T226"/>
      <c r="U226"/>
      <c r="V226"/>
      <c r="W226"/>
      <c r="X226"/>
    </row>
    <row r="227" spans="1:24">
      <c r="A227" s="4"/>
      <c r="B227" s="74"/>
      <c r="C227" s="215" t="s">
        <v>271</v>
      </c>
      <c r="D227" s="215" t="s">
        <v>312</v>
      </c>
      <c r="E227" s="214" t="s">
        <v>272</v>
      </c>
      <c r="F227" s="214" t="s">
        <v>231</v>
      </c>
      <c r="G227" s="214" t="s">
        <v>272</v>
      </c>
      <c r="H227" s="214" t="s">
        <v>231</v>
      </c>
      <c r="I227" s="214" t="s">
        <v>272</v>
      </c>
      <c r="J227" s="214" t="s">
        <v>231</v>
      </c>
      <c r="K227" s="214" t="s">
        <v>272</v>
      </c>
      <c r="L227" s="214" t="s">
        <v>231</v>
      </c>
      <c r="M227" s="69"/>
      <c r="N227" s="69"/>
      <c r="O227" s="69"/>
      <c r="P227" s="138"/>
      <c r="Q227"/>
      <c r="R227"/>
      <c r="S227"/>
      <c r="T227"/>
      <c r="U227"/>
      <c r="V227"/>
      <c r="W227"/>
      <c r="X227"/>
    </row>
    <row r="228" spans="1:24">
      <c r="A228" s="4"/>
      <c r="B228" s="74"/>
      <c r="C228" s="216" t="s">
        <v>97</v>
      </c>
      <c r="D228" s="305">
        <v>234</v>
      </c>
      <c r="E228" s="305">
        <v>51480</v>
      </c>
      <c r="F228" s="305">
        <v>102960</v>
      </c>
      <c r="G228" s="305">
        <v>38853</v>
      </c>
      <c r="H228" s="305">
        <v>77706</v>
      </c>
      <c r="I228" s="305">
        <v>49920</v>
      </c>
      <c r="J228" s="305">
        <v>99840</v>
      </c>
      <c r="K228" s="306">
        <v>1560</v>
      </c>
      <c r="L228" s="306">
        <v>3120</v>
      </c>
      <c r="M228" s="69"/>
      <c r="N228" s="69"/>
      <c r="O228" s="69"/>
      <c r="P228" s="138"/>
      <c r="Q228"/>
      <c r="R228"/>
      <c r="S228"/>
      <c r="T228"/>
      <c r="U228"/>
      <c r="V228"/>
      <c r="W228"/>
      <c r="X228"/>
    </row>
    <row r="229" spans="1:24">
      <c r="A229" s="4"/>
      <c r="B229" s="74"/>
      <c r="C229" s="216" t="s">
        <v>98</v>
      </c>
      <c r="D229" s="307">
        <v>468</v>
      </c>
      <c r="E229" s="307">
        <v>102960</v>
      </c>
      <c r="F229" s="307">
        <v>205920</v>
      </c>
      <c r="G229" s="307">
        <v>77706</v>
      </c>
      <c r="H229" s="307">
        <v>155411</v>
      </c>
      <c r="I229" s="307">
        <v>99840</v>
      </c>
      <c r="J229" s="307">
        <v>199680</v>
      </c>
      <c r="K229" s="308">
        <v>3120</v>
      </c>
      <c r="L229" s="308">
        <v>6240</v>
      </c>
      <c r="M229" s="69"/>
      <c r="N229" s="69"/>
      <c r="O229" s="69"/>
      <c r="P229" s="138"/>
      <c r="Q229"/>
      <c r="R229"/>
      <c r="S229"/>
      <c r="T229"/>
      <c r="U229"/>
      <c r="V229"/>
      <c r="W229"/>
      <c r="X229"/>
    </row>
    <row r="230" spans="1:24">
      <c r="A230" s="4"/>
      <c r="B230" s="74"/>
      <c r="C230" s="216" t="s">
        <v>99</v>
      </c>
      <c r="D230" s="305">
        <v>702</v>
      </c>
      <c r="E230" s="305">
        <v>154440</v>
      </c>
      <c r="F230" s="305">
        <v>308880</v>
      </c>
      <c r="G230" s="305">
        <v>116559</v>
      </c>
      <c r="H230" s="305">
        <v>233117</v>
      </c>
      <c r="I230" s="305">
        <v>149760</v>
      </c>
      <c r="J230" s="305">
        <v>299520</v>
      </c>
      <c r="K230" s="306">
        <v>4680</v>
      </c>
      <c r="L230" s="306">
        <v>9360</v>
      </c>
      <c r="M230" s="69"/>
      <c r="N230" s="69"/>
      <c r="O230" s="69"/>
      <c r="P230" s="138"/>
      <c r="Q230"/>
      <c r="R230"/>
      <c r="S230"/>
      <c r="T230"/>
      <c r="U230"/>
      <c r="V230"/>
      <c r="W230"/>
      <c r="X230"/>
    </row>
    <row r="231" spans="1:24">
      <c r="A231" s="4"/>
      <c r="B231" s="74"/>
      <c r="C231" s="216" t="s">
        <v>100</v>
      </c>
      <c r="D231" s="307">
        <v>937</v>
      </c>
      <c r="E231" s="307">
        <v>205920</v>
      </c>
      <c r="F231" s="307">
        <v>411840</v>
      </c>
      <c r="G231" s="307">
        <v>155411</v>
      </c>
      <c r="H231" s="307">
        <v>310823</v>
      </c>
      <c r="I231" s="307">
        <v>199680</v>
      </c>
      <c r="J231" s="307">
        <v>399360</v>
      </c>
      <c r="K231" s="308">
        <v>6240</v>
      </c>
      <c r="L231" s="308">
        <v>12480</v>
      </c>
      <c r="M231" s="69"/>
      <c r="N231" s="69"/>
      <c r="O231" s="69"/>
      <c r="P231" s="138"/>
      <c r="Q231"/>
      <c r="R231"/>
      <c r="S231"/>
      <c r="T231"/>
      <c r="U231"/>
      <c r="V231"/>
      <c r="W231"/>
      <c r="X231"/>
    </row>
    <row r="232" spans="1:24">
      <c r="A232" s="4"/>
      <c r="B232" s="74"/>
      <c r="C232" s="216" t="s">
        <v>101</v>
      </c>
      <c r="D232" s="305">
        <v>1171</v>
      </c>
      <c r="E232" s="305">
        <v>257400</v>
      </c>
      <c r="F232" s="305">
        <v>514800</v>
      </c>
      <c r="G232" s="305">
        <v>194264</v>
      </c>
      <c r="H232" s="305">
        <v>388528</v>
      </c>
      <c r="I232" s="305">
        <v>249600</v>
      </c>
      <c r="J232" s="305">
        <v>499200</v>
      </c>
      <c r="K232" s="306">
        <v>7800</v>
      </c>
      <c r="L232" s="306">
        <v>15600</v>
      </c>
      <c r="M232" s="69"/>
      <c r="N232" s="69"/>
      <c r="O232" s="69"/>
      <c r="P232" s="138"/>
      <c r="Q232"/>
      <c r="R232"/>
      <c r="S232"/>
      <c r="T232"/>
      <c r="U232"/>
      <c r="V232"/>
      <c r="W232"/>
      <c r="X232"/>
    </row>
    <row r="233" spans="1:24">
      <c r="A233" s="4"/>
      <c r="B233" s="74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138"/>
      <c r="Q233"/>
      <c r="R233"/>
      <c r="S233"/>
      <c r="T233"/>
      <c r="U233"/>
      <c r="V233"/>
      <c r="W233"/>
      <c r="X233"/>
    </row>
    <row r="234" spans="1:24">
      <c r="A234" s="4"/>
      <c r="B234" s="74"/>
      <c r="C234" s="133" t="s">
        <v>206</v>
      </c>
      <c r="D234" s="69"/>
      <c r="E234" s="69"/>
      <c r="F234" s="133" t="s">
        <v>138</v>
      </c>
      <c r="G234" s="69"/>
      <c r="H234" s="69"/>
      <c r="I234" s="69"/>
      <c r="J234" s="69"/>
      <c r="K234" s="130" t="s">
        <v>255</v>
      </c>
      <c r="L234" s="69"/>
      <c r="M234" s="69"/>
      <c r="N234" s="69"/>
      <c r="O234" s="69"/>
      <c r="P234" s="138"/>
      <c r="Q234"/>
      <c r="R234"/>
      <c r="S234"/>
      <c r="T234"/>
      <c r="U234"/>
      <c r="V234"/>
      <c r="W234"/>
      <c r="X234"/>
    </row>
    <row r="235" spans="1:24">
      <c r="A235" s="4"/>
      <c r="B235" s="74"/>
      <c r="C235" s="133"/>
      <c r="D235" s="69"/>
      <c r="E235" s="69"/>
      <c r="F235" s="133"/>
      <c r="G235" s="69"/>
      <c r="H235" s="69"/>
      <c r="I235" s="69"/>
      <c r="J235" s="69"/>
      <c r="K235" s="169" t="s">
        <v>3</v>
      </c>
      <c r="L235" s="169" t="s">
        <v>256</v>
      </c>
      <c r="M235" s="169" t="s">
        <v>257</v>
      </c>
      <c r="N235" s="69"/>
      <c r="O235" s="69"/>
      <c r="P235" s="138"/>
      <c r="Q235"/>
      <c r="R235"/>
      <c r="S235"/>
      <c r="T235"/>
      <c r="U235"/>
      <c r="V235"/>
      <c r="W235"/>
      <c r="X235"/>
    </row>
    <row r="236" spans="1:24">
      <c r="A236" s="4"/>
      <c r="B236" s="74"/>
      <c r="C236" s="209" t="s">
        <v>285</v>
      </c>
      <c r="D236" s="210"/>
      <c r="E236" s="69"/>
      <c r="F236" s="182" t="s">
        <v>137</v>
      </c>
      <c r="G236" s="183"/>
      <c r="H236" s="182" t="s">
        <v>139</v>
      </c>
      <c r="I236" s="183"/>
      <c r="J236" s="69"/>
      <c r="K236" s="66" t="s">
        <v>8</v>
      </c>
      <c r="L236" s="304">
        <v>495</v>
      </c>
      <c r="M236" s="304">
        <v>50</v>
      </c>
      <c r="N236" s="69"/>
      <c r="O236" s="69"/>
      <c r="P236" s="138"/>
      <c r="Q236"/>
      <c r="R236"/>
      <c r="S236"/>
      <c r="T236"/>
      <c r="U236"/>
      <c r="V236"/>
      <c r="W236"/>
      <c r="X236"/>
    </row>
    <row r="237" spans="1:24">
      <c r="A237" s="4"/>
      <c r="B237" s="74"/>
      <c r="C237" s="169" t="s">
        <v>10</v>
      </c>
      <c r="D237" s="169" t="s">
        <v>11</v>
      </c>
      <c r="E237" s="69"/>
      <c r="F237" s="169" t="s">
        <v>10</v>
      </c>
      <c r="G237" s="169" t="s">
        <v>11</v>
      </c>
      <c r="H237" s="169" t="s">
        <v>10</v>
      </c>
      <c r="I237" s="169" t="s">
        <v>11</v>
      </c>
      <c r="J237" s="69"/>
      <c r="K237" s="188" t="s">
        <v>9</v>
      </c>
      <c r="L237" s="298">
        <v>588</v>
      </c>
      <c r="M237" s="298">
        <v>60</v>
      </c>
      <c r="N237" s="69"/>
      <c r="O237" s="69"/>
      <c r="P237" s="138"/>
      <c r="Q237"/>
      <c r="R237"/>
      <c r="S237"/>
      <c r="T237"/>
      <c r="U237"/>
      <c r="V237"/>
      <c r="W237"/>
      <c r="X237"/>
    </row>
    <row r="238" spans="1:24">
      <c r="A238" s="4"/>
      <c r="B238" s="74"/>
      <c r="C238" s="59">
        <v>0</v>
      </c>
      <c r="D238" s="59">
        <v>0.5</v>
      </c>
      <c r="E238" s="69"/>
      <c r="F238" s="57">
        <v>20000</v>
      </c>
      <c r="G238" s="57">
        <v>100000</v>
      </c>
      <c r="H238" s="52">
        <v>0</v>
      </c>
      <c r="I238" s="52">
        <v>0.33</v>
      </c>
      <c r="J238" s="69"/>
      <c r="K238" s="66" t="s">
        <v>156</v>
      </c>
      <c r="L238" s="304">
        <v>476</v>
      </c>
      <c r="M238" s="304">
        <v>55</v>
      </c>
      <c r="N238" s="69"/>
      <c r="O238" s="69"/>
      <c r="P238" s="138"/>
      <c r="Q238"/>
      <c r="R238"/>
      <c r="S238"/>
      <c r="T238"/>
      <c r="U238"/>
      <c r="V238"/>
      <c r="W238"/>
      <c r="X238"/>
    </row>
    <row r="239" spans="1:24">
      <c r="A239" s="4"/>
      <c r="B239" s="74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138"/>
      <c r="Q239"/>
      <c r="R239"/>
      <c r="S239"/>
      <c r="T239"/>
      <c r="U239"/>
      <c r="V239"/>
      <c r="W239"/>
      <c r="X239"/>
    </row>
    <row r="240" spans="1:24">
      <c r="A240" s="4"/>
      <c r="B240" s="74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138"/>
      <c r="Q240"/>
      <c r="R240"/>
      <c r="S240"/>
      <c r="T240"/>
      <c r="U240"/>
      <c r="V240"/>
      <c r="W240"/>
      <c r="X240"/>
    </row>
    <row r="241" spans="1:24">
      <c r="A241" s="4"/>
      <c r="B241" s="74"/>
      <c r="C241" s="130" t="s">
        <v>253</v>
      </c>
      <c r="D241" s="69"/>
      <c r="E241" s="69"/>
      <c r="F241" s="131">
        <v>20000</v>
      </c>
      <c r="G241" s="69"/>
      <c r="H241" s="69"/>
      <c r="I241" s="143"/>
      <c r="J241" s="69"/>
      <c r="K241" s="69"/>
      <c r="L241" s="69"/>
      <c r="M241" s="69"/>
      <c r="N241" s="69"/>
      <c r="O241" s="69"/>
      <c r="P241" s="138"/>
      <c r="Q241"/>
      <c r="R241"/>
      <c r="S241"/>
      <c r="T241"/>
      <c r="U241"/>
      <c r="V241"/>
      <c r="W241"/>
      <c r="X241"/>
    </row>
    <row r="242" spans="1:24">
      <c r="A242" s="4"/>
      <c r="B242" s="74"/>
      <c r="C242" s="130" t="s">
        <v>228</v>
      </c>
      <c r="D242" s="69"/>
      <c r="E242" s="69"/>
      <c r="F242" s="153">
        <v>50000</v>
      </c>
      <c r="G242" s="69"/>
      <c r="H242" s="69"/>
      <c r="I242" s="69"/>
      <c r="J242" s="69"/>
      <c r="K242" s="69"/>
      <c r="L242" s="69"/>
      <c r="M242" s="69"/>
      <c r="N242" s="69"/>
      <c r="O242" s="69"/>
      <c r="P242" s="138"/>
      <c r="Q242"/>
      <c r="R242"/>
      <c r="S242"/>
      <c r="T242"/>
      <c r="U242"/>
      <c r="V242"/>
      <c r="W242"/>
      <c r="X242"/>
    </row>
    <row r="243" spans="1:24">
      <c r="A243" s="4"/>
      <c r="B243" s="74"/>
      <c r="C243" s="130"/>
      <c r="D243" s="69"/>
      <c r="E243" s="69"/>
      <c r="F243" s="153"/>
      <c r="G243" s="69"/>
      <c r="H243" s="69"/>
      <c r="I243" s="69"/>
      <c r="J243" s="69"/>
      <c r="K243" s="69"/>
      <c r="L243" s="69"/>
      <c r="M243" s="69"/>
      <c r="N243" s="69"/>
      <c r="O243" s="69"/>
      <c r="P243" s="138"/>
      <c r="Q243"/>
      <c r="R243"/>
      <c r="S243"/>
      <c r="T243"/>
      <c r="U243"/>
      <c r="V243"/>
      <c r="W243"/>
      <c r="X243"/>
    </row>
    <row r="244" spans="1:24">
      <c r="A244" s="4"/>
      <c r="B244" s="74"/>
      <c r="C244" s="130" t="s">
        <v>229</v>
      </c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138"/>
      <c r="Q244"/>
      <c r="R244"/>
      <c r="S244"/>
      <c r="T244"/>
      <c r="U244"/>
      <c r="V244"/>
      <c r="W244"/>
      <c r="X244"/>
    </row>
    <row r="245" spans="1:24">
      <c r="A245" s="4"/>
      <c r="B245" s="74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138"/>
      <c r="Q245"/>
      <c r="R245"/>
      <c r="S245"/>
      <c r="T245"/>
      <c r="U245"/>
      <c r="V245"/>
      <c r="W245"/>
      <c r="X245"/>
    </row>
    <row r="246" spans="1:24">
      <c r="A246" s="4"/>
      <c r="B246" s="74"/>
      <c r="C246" s="69"/>
      <c r="D246" s="217" t="s">
        <v>97</v>
      </c>
      <c r="E246" s="217" t="s">
        <v>98</v>
      </c>
      <c r="F246" s="217" t="s">
        <v>99</v>
      </c>
      <c r="G246" s="217" t="s">
        <v>100</v>
      </c>
      <c r="H246" s="217" t="s">
        <v>101</v>
      </c>
      <c r="I246" s="69"/>
      <c r="J246" s="69"/>
      <c r="K246" s="69"/>
      <c r="L246" s="69"/>
      <c r="M246" s="69"/>
      <c r="N246" s="69"/>
      <c r="O246" s="69"/>
      <c r="P246" s="138"/>
      <c r="Q246"/>
      <c r="R246"/>
      <c r="S246"/>
      <c r="T246"/>
      <c r="U246"/>
      <c r="V246"/>
      <c r="W246"/>
      <c r="X246"/>
    </row>
    <row r="247" spans="1:24">
      <c r="A247" s="4"/>
      <c r="B247" s="74"/>
      <c r="C247" s="217" t="s">
        <v>230</v>
      </c>
      <c r="D247" s="304">
        <v>38000000</v>
      </c>
      <c r="E247" s="304">
        <v>66000000</v>
      </c>
      <c r="F247" s="304">
        <v>94000000</v>
      </c>
      <c r="G247" s="304">
        <v>125000000</v>
      </c>
      <c r="H247" s="304">
        <v>160000000</v>
      </c>
      <c r="I247" s="69"/>
      <c r="J247" s="69"/>
      <c r="K247" s="69"/>
      <c r="L247" s="69"/>
      <c r="M247" s="69"/>
      <c r="N247" s="69"/>
      <c r="O247" s="69"/>
      <c r="P247" s="138"/>
      <c r="Q247"/>
      <c r="R247"/>
      <c r="S247"/>
      <c r="T247"/>
      <c r="U247"/>
      <c r="V247"/>
      <c r="W247"/>
      <c r="X247"/>
    </row>
    <row r="248" spans="1:24">
      <c r="A248" s="4"/>
      <c r="B248" s="74"/>
      <c r="C248" s="217" t="s">
        <v>231</v>
      </c>
      <c r="D248" s="298">
        <v>50000000</v>
      </c>
      <c r="E248" s="298">
        <v>90000000</v>
      </c>
      <c r="F248" s="298">
        <v>130000000</v>
      </c>
      <c r="G248" s="298">
        <v>170000000</v>
      </c>
      <c r="H248" s="298">
        <v>210000000</v>
      </c>
      <c r="I248" s="69"/>
      <c r="J248" s="69"/>
      <c r="K248" s="69"/>
      <c r="L248" s="69"/>
      <c r="M248" s="69"/>
      <c r="N248" s="69"/>
      <c r="O248" s="69"/>
      <c r="P248" s="138"/>
      <c r="Q248"/>
      <c r="R248"/>
      <c r="S248"/>
      <c r="T248"/>
      <c r="U248"/>
      <c r="V248"/>
      <c r="W248"/>
      <c r="X248"/>
    </row>
    <row r="249" spans="1:24">
      <c r="A249" s="4"/>
      <c r="B249" s="74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138"/>
      <c r="Q249"/>
      <c r="R249"/>
      <c r="S249"/>
      <c r="T249"/>
      <c r="U249"/>
      <c r="V249"/>
      <c r="W249"/>
      <c r="X249"/>
    </row>
    <row r="250" spans="1:24">
      <c r="B250" s="74"/>
      <c r="C250" s="130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138"/>
      <c r="Q250"/>
      <c r="R250"/>
      <c r="S250"/>
      <c r="T250"/>
      <c r="U250"/>
      <c r="V250"/>
      <c r="W250"/>
      <c r="X250"/>
    </row>
    <row r="251" spans="1:24">
      <c r="B251" s="74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138"/>
      <c r="Q251"/>
      <c r="R251"/>
      <c r="S251"/>
      <c r="T251"/>
      <c r="U251"/>
      <c r="V251"/>
      <c r="W251"/>
      <c r="X251"/>
    </row>
    <row r="252" spans="1:24" s="91" customFormat="1" ht="15.95" customHeight="1">
      <c r="B252" s="101"/>
      <c r="C252" s="102" t="s">
        <v>309</v>
      </c>
      <c r="D252" s="103"/>
      <c r="E252" s="103"/>
      <c r="F252" s="103"/>
      <c r="G252" s="103"/>
      <c r="H252" s="103"/>
      <c r="I252" s="103"/>
      <c r="J252" s="103"/>
      <c r="K252" s="104"/>
      <c r="L252" s="104"/>
      <c r="M252" s="104"/>
      <c r="N252" s="104"/>
      <c r="O252" s="104"/>
      <c r="P252" s="105"/>
      <c r="Q252"/>
      <c r="R252"/>
      <c r="S252"/>
      <c r="T252"/>
      <c r="U252"/>
      <c r="V252"/>
      <c r="W252"/>
      <c r="X252"/>
    </row>
    <row r="253" spans="1:24" s="91" customFormat="1">
      <c r="B253" s="101"/>
      <c r="C253" s="103" t="s">
        <v>308</v>
      </c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60"/>
      <c r="O253" s="103"/>
      <c r="P253" s="157"/>
      <c r="Q253"/>
      <c r="R253"/>
      <c r="S253"/>
      <c r="T253"/>
      <c r="U253"/>
      <c r="V253"/>
      <c r="W253"/>
      <c r="X253"/>
    </row>
    <row r="254" spans="1:24" s="91" customFormat="1">
      <c r="B254" s="101"/>
      <c r="C254" s="127" t="s">
        <v>306</v>
      </c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60"/>
      <c r="O254" s="103"/>
      <c r="P254" s="157"/>
      <c r="Q254"/>
      <c r="R254"/>
      <c r="S254"/>
      <c r="T254"/>
      <c r="U254"/>
      <c r="V254"/>
      <c r="W254"/>
      <c r="X254"/>
    </row>
    <row r="255" spans="1:24" s="91" customFormat="1">
      <c r="B255" s="101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60"/>
      <c r="O255" s="103"/>
      <c r="P255" s="157"/>
      <c r="Q255"/>
      <c r="R255"/>
      <c r="S255"/>
      <c r="T255"/>
      <c r="U255"/>
      <c r="V255"/>
      <c r="W255"/>
      <c r="X255"/>
    </row>
    <row r="256" spans="1:24" s="91" customFormat="1" ht="31.5">
      <c r="B256" s="101"/>
      <c r="C256" s="215" t="s">
        <v>3</v>
      </c>
      <c r="D256" s="215" t="s">
        <v>4</v>
      </c>
      <c r="E256" s="215" t="s">
        <v>132</v>
      </c>
      <c r="F256" s="215" t="s">
        <v>95</v>
      </c>
      <c r="G256" s="215" t="s">
        <v>133</v>
      </c>
      <c r="H256" s="215" t="s">
        <v>273</v>
      </c>
      <c r="I256" s="215" t="s">
        <v>326</v>
      </c>
      <c r="J256" s="215" t="s">
        <v>281</v>
      </c>
      <c r="K256" s="215" t="s">
        <v>325</v>
      </c>
      <c r="L256" s="215" t="s">
        <v>284</v>
      </c>
      <c r="M256" s="215" t="s">
        <v>274</v>
      </c>
      <c r="N256" s="215" t="s">
        <v>324</v>
      </c>
      <c r="O256" s="103"/>
      <c r="P256" s="157"/>
      <c r="Q256"/>
      <c r="R256"/>
      <c r="S256"/>
      <c r="T256"/>
      <c r="U256"/>
      <c r="V256"/>
      <c r="W256"/>
      <c r="X256"/>
    </row>
    <row r="257" spans="2:28" s="91" customFormat="1">
      <c r="B257" s="101"/>
      <c r="C257" s="250" t="str">
        <f>'Año 2'!D52</f>
        <v>S3</v>
      </c>
      <c r="D257" s="250">
        <f>'Año 2'!F52</f>
        <v>0</v>
      </c>
      <c r="E257" s="93"/>
      <c r="F257" s="250" t="e">
        <f ca="1">_xlfn.IFS(E257='Año 2'!$C$110,'Año 2'!$D$110,E257='Año 2'!$C$111,'Año 2'!$D$111,E257='Año 2'!$C$112,'Año 2'!$D$112,E257="",0)</f>
        <v>#NAME?</v>
      </c>
      <c r="G257" s="93"/>
      <c r="H257" s="251" t="e">
        <f ca="1">CONCATENATE(C257,"-",F257,"-",G257)</f>
        <v>#NAME?</v>
      </c>
      <c r="I257" s="309">
        <f>K269</f>
        <v>0</v>
      </c>
      <c r="J257" s="92"/>
      <c r="K257" s="94"/>
      <c r="L257" s="53"/>
      <c r="M257" s="310" t="e">
        <f ca="1">_xlfn.IFS(H257="S3-0-",0,H257="S3-TR1-1",((I257/(1+J257))/51480)*1560,H257="S3-TR1-2",((I257/(1+J257))/102960)*3120,H257="S3-TR2-1",((I257/(1+J257))/102960)*3120,H257="S3-TR2-2",((I257/(1+J257))/205920)*6240,H257="S3-TR3-1",((I257/(1+J257))/154440)*4680,H257="S3-TR3-2",((I257/(1+J257))/308880)*9360,H257="S3-TR4-1",((I257/(1+J257))/205920)*6240,H257="S3-TR4-2",((I257/(1+J257))/411840)*12480,H257="S3-TR5-1",((I257/(1+J257))/257400)*7800,H257="S3-TR5-2",((I257/(1+J257))/514800)*15600)</f>
        <v>#NAME?</v>
      </c>
      <c r="N257" s="335"/>
      <c r="O257" s="103"/>
      <c r="P257" s="157"/>
      <c r="Q257"/>
      <c r="R257"/>
      <c r="S257"/>
      <c r="T257"/>
      <c r="U257"/>
      <c r="V257"/>
      <c r="W257"/>
      <c r="X257"/>
    </row>
    <row r="258" spans="2:28" s="91" customFormat="1">
      <c r="B258" s="101"/>
      <c r="C258" s="104"/>
      <c r="D258" s="104"/>
      <c r="E258" s="103"/>
      <c r="F258" s="103"/>
      <c r="G258" s="103"/>
      <c r="H258" s="103"/>
      <c r="I258" s="103"/>
      <c r="J258" s="103"/>
      <c r="K258" s="103"/>
      <c r="L258" s="103"/>
      <c r="M258" s="103"/>
      <c r="N258" s="60"/>
      <c r="O258" s="103"/>
      <c r="P258" s="157"/>
      <c r="Q258"/>
      <c r="R258"/>
      <c r="S258"/>
      <c r="T258"/>
      <c r="U258"/>
      <c r="V258"/>
      <c r="W258"/>
      <c r="X258"/>
    </row>
    <row r="259" spans="2:28" s="91" customFormat="1" ht="15.95" customHeight="1">
      <c r="B259" s="101"/>
      <c r="C259" s="218" t="s">
        <v>123</v>
      </c>
      <c r="D259" s="219"/>
      <c r="E259" s="219"/>
      <c r="F259" s="220"/>
      <c r="G259" s="221" t="s">
        <v>282</v>
      </c>
      <c r="H259" s="219"/>
      <c r="I259" s="222"/>
      <c r="J259" s="220"/>
      <c r="K259" s="223" t="s">
        <v>327</v>
      </c>
      <c r="L259" s="223" t="s">
        <v>327</v>
      </c>
      <c r="M259" s="223" t="s">
        <v>367</v>
      </c>
      <c r="N259" s="104"/>
      <c r="O259" s="103"/>
      <c r="P259" s="157"/>
      <c r="Q259"/>
      <c r="R259"/>
      <c r="S259"/>
      <c r="T259"/>
      <c r="U259"/>
      <c r="V259"/>
      <c r="W259"/>
      <c r="X259"/>
    </row>
    <row r="260" spans="2:28" s="91" customFormat="1" ht="15.95" customHeight="1">
      <c r="B260" s="101"/>
      <c r="C260" s="224" t="s">
        <v>104</v>
      </c>
      <c r="D260" s="224" t="s">
        <v>157</v>
      </c>
      <c r="E260" s="224" t="s">
        <v>105</v>
      </c>
      <c r="F260" s="224" t="s">
        <v>106</v>
      </c>
      <c r="G260" s="224" t="s">
        <v>182</v>
      </c>
      <c r="H260" s="224" t="s">
        <v>105</v>
      </c>
      <c r="I260" s="224" t="s">
        <v>106</v>
      </c>
      <c r="J260" s="224" t="s">
        <v>155</v>
      </c>
      <c r="K260" s="225" t="s">
        <v>328</v>
      </c>
      <c r="L260" s="225" t="s">
        <v>329</v>
      </c>
      <c r="M260" s="225" t="s">
        <v>307</v>
      </c>
      <c r="N260" s="104"/>
      <c r="O260" s="104"/>
      <c r="P260" s="105"/>
      <c r="Q260"/>
      <c r="R260"/>
      <c r="S260"/>
      <c r="T260"/>
      <c r="U260"/>
      <c r="V260"/>
      <c r="W260"/>
      <c r="X260"/>
      <c r="AB260" s="95" t="s">
        <v>269</v>
      </c>
    </row>
    <row r="261" spans="2:28" s="91" customFormat="1">
      <c r="B261" s="101"/>
      <c r="C261" s="250">
        <f>'Año 2'!C55</f>
        <v>0</v>
      </c>
      <c r="D261" s="250">
        <f>'Año 2'!D55</f>
        <v>0</v>
      </c>
      <c r="E261" s="250">
        <f>'Año 2'!E55</f>
        <v>0</v>
      </c>
      <c r="F261" s="250">
        <f>'Año 2'!F55</f>
        <v>0</v>
      </c>
      <c r="G261" s="326" t="e">
        <f ca="1">_xlfn.IFS(AB261="S3/0/0",0,AB261="S3/ICE/115",20,AB261="S3/ICE/135",20,AB261="S3/ICE/150",20,AB261="S3/ICE/165",22,AB261="S3/ICE/180",22,AB261="S3/ICE/195",22,AB261="S3/ICE/210",22,AB261="S3/HYB/115",22,AB261="S3/HYB/135",22,AB261="S3/HYB/150",22,AB261="S3/HYB/165",24,AB261="S3/HYB/180",24,AB261="S3/HYB/195",24,AB261="S3/HYB/210",24,AB261="S3/ELE/115",37,AB261="S3/ELE/135",37,AB261="S3/ELE/150",37,AB261="S3/ELE/165",39,AB261="S3/ELE/180",39,AB261="S3/ELE/195",39,AB261="S3/ELE/210",39)</f>
        <v>#NAME?</v>
      </c>
      <c r="H261" s="326" t="e">
        <f ca="1">_xlfn.IFS(E261=0,0,E261="O1",2,E261="O2",4,E261="O3",6)</f>
        <v>#NAME?</v>
      </c>
      <c r="I261" s="326" t="e">
        <f ca="1">_xlfn.IFS(F261=0,0,F261="T1",2,F261="T2",4,F261="T3",6)</f>
        <v>#NAME?</v>
      </c>
      <c r="J261" s="326" t="e">
        <f ca="1">G261+H261+I261</f>
        <v>#NAME?</v>
      </c>
      <c r="K261" s="96"/>
      <c r="L261" s="253">
        <f t="shared" ref="L261:L268" si="5">IF(K261&gt;0,K261/$K$269,0%)</f>
        <v>0</v>
      </c>
      <c r="M261" s="310" t="e">
        <f t="shared" ref="M261:M268" ca="1" si="6">J261*K261</f>
        <v>#NAME?</v>
      </c>
      <c r="N261" s="104"/>
      <c r="O261" s="103"/>
      <c r="P261" s="157"/>
      <c r="Q261"/>
      <c r="R261"/>
      <c r="S261"/>
      <c r="T261"/>
      <c r="U261"/>
      <c r="V261"/>
      <c r="W261"/>
      <c r="X261"/>
      <c r="AB261" s="129" t="str">
        <f t="shared" ref="AB261:AB268" si="7">CONCATENATE($C$257,"/",C261,"/",D261)</f>
        <v>S3/0/0</v>
      </c>
    </row>
    <row r="262" spans="2:28" s="91" customFormat="1">
      <c r="B262" s="101"/>
      <c r="C262" s="250">
        <f>'Año 2'!C56</f>
        <v>0</v>
      </c>
      <c r="D262" s="250">
        <f>'Año 2'!D56</f>
        <v>0</v>
      </c>
      <c r="E262" s="250">
        <f>'Año 2'!E56</f>
        <v>0</v>
      </c>
      <c r="F262" s="250">
        <f>'Año 2'!F56</f>
        <v>0</v>
      </c>
      <c r="G262" s="326" t="e">
        <f t="shared" ref="G262:G268" ca="1" si="8">_xlfn.IFS(AB262="S3/0/0",0,AB262="S3/ICE/115",20,AB262="S3/ICE/135",20,AB262="S3/ICE/150",20,AB262="S3/ICE/165",22,AB262="S3/ICE/180",22,AB262="S3/ICE/195",22,AB262="S3/ICE/210",22,AB262="S3/HYB/115",22,AB262="S3/HYB/135",22,AB262="S3/HYB/150",22,AB262="S3/HYB/165",24,AB262="S3/HYB/180",24,AB262="S3/HYB/195",24,AB262="S3/HYB/210",24,AB262="S3/ELE/115",37,AB262="S3/ELE/135",37,AB262="S3/ELE/150",37,AB262="S3/ELE/165",39,AB262="S3/ELE/180",39,AB262="S3/ELE/195",39,AB262="S3/ELE/210",39)</f>
        <v>#NAME?</v>
      </c>
      <c r="H262" s="326" t="e">
        <f t="shared" ref="H262:H268" ca="1" si="9">_xlfn.IFS(E262=0,0,E262="O1",2,E262="O2",4,E262="O3",6)</f>
        <v>#NAME?</v>
      </c>
      <c r="I262" s="326" t="e">
        <f t="shared" ref="I262:I268" ca="1" si="10">_xlfn.IFS(F262=0,0,F262="T1",2,F262="T2",4,F262="T3",6)</f>
        <v>#NAME?</v>
      </c>
      <c r="J262" s="326" t="e">
        <f t="shared" ref="J262:J268" ca="1" si="11">SUM(G262:I262)</f>
        <v>#NAME?</v>
      </c>
      <c r="K262" s="96"/>
      <c r="L262" s="253">
        <f t="shared" si="5"/>
        <v>0</v>
      </c>
      <c r="M262" s="310" t="e">
        <f t="shared" ca="1" si="6"/>
        <v>#NAME?</v>
      </c>
      <c r="N262" s="104"/>
      <c r="O262" s="103"/>
      <c r="P262" s="157"/>
      <c r="Q262"/>
      <c r="R262"/>
      <c r="S262"/>
      <c r="T262"/>
      <c r="U262"/>
      <c r="V262"/>
      <c r="W262"/>
      <c r="X262"/>
      <c r="AB262" s="129" t="str">
        <f t="shared" si="7"/>
        <v>S3/0/0</v>
      </c>
    </row>
    <row r="263" spans="2:28" s="91" customFormat="1">
      <c r="B263" s="101"/>
      <c r="C263" s="250">
        <f>'Año 2'!C57</f>
        <v>0</v>
      </c>
      <c r="D263" s="250">
        <f>'Año 2'!D57</f>
        <v>0</v>
      </c>
      <c r="E263" s="250">
        <f>'Año 2'!E57</f>
        <v>0</v>
      </c>
      <c r="F263" s="250">
        <f>'Año 2'!F57</f>
        <v>0</v>
      </c>
      <c r="G263" s="326" t="e">
        <f t="shared" ca="1" si="8"/>
        <v>#NAME?</v>
      </c>
      <c r="H263" s="326" t="e">
        <f t="shared" ca="1" si="9"/>
        <v>#NAME?</v>
      </c>
      <c r="I263" s="326" t="e">
        <f t="shared" ca="1" si="10"/>
        <v>#NAME?</v>
      </c>
      <c r="J263" s="326" t="e">
        <f t="shared" ca="1" si="11"/>
        <v>#NAME?</v>
      </c>
      <c r="K263" s="96"/>
      <c r="L263" s="253">
        <f t="shared" si="5"/>
        <v>0</v>
      </c>
      <c r="M263" s="310" t="e">
        <f t="shared" ca="1" si="6"/>
        <v>#NAME?</v>
      </c>
      <c r="N263" s="104"/>
      <c r="O263" s="103"/>
      <c r="P263" s="157"/>
      <c r="Q263"/>
      <c r="R263"/>
      <c r="S263"/>
      <c r="T263"/>
      <c r="U263"/>
      <c r="V263"/>
      <c r="W263"/>
      <c r="X263"/>
      <c r="AB263" s="129" t="str">
        <f t="shared" si="7"/>
        <v>S3/0/0</v>
      </c>
    </row>
    <row r="264" spans="2:28" s="91" customFormat="1">
      <c r="B264" s="101"/>
      <c r="C264" s="250">
        <f>'Año 2'!C58</f>
        <v>0</v>
      </c>
      <c r="D264" s="250">
        <f>'Año 2'!D58</f>
        <v>0</v>
      </c>
      <c r="E264" s="250">
        <f>'Año 2'!E58</f>
        <v>0</v>
      </c>
      <c r="F264" s="250">
        <f>'Año 2'!F58</f>
        <v>0</v>
      </c>
      <c r="G264" s="326" t="e">
        <f t="shared" ca="1" si="8"/>
        <v>#NAME?</v>
      </c>
      <c r="H264" s="326" t="e">
        <f t="shared" ca="1" si="9"/>
        <v>#NAME?</v>
      </c>
      <c r="I264" s="326" t="e">
        <f t="shared" ca="1" si="10"/>
        <v>#NAME?</v>
      </c>
      <c r="J264" s="326" t="e">
        <f t="shared" ca="1" si="11"/>
        <v>#NAME?</v>
      </c>
      <c r="K264" s="96"/>
      <c r="L264" s="253">
        <f t="shared" si="5"/>
        <v>0</v>
      </c>
      <c r="M264" s="310" t="e">
        <f t="shared" ca="1" si="6"/>
        <v>#NAME?</v>
      </c>
      <c r="N264" s="104"/>
      <c r="O264" s="103"/>
      <c r="P264" s="157"/>
      <c r="Q264"/>
      <c r="R264"/>
      <c r="S264"/>
      <c r="T264"/>
      <c r="U264"/>
      <c r="V264"/>
      <c r="W264"/>
      <c r="X264"/>
      <c r="AB264" s="129" t="str">
        <f t="shared" si="7"/>
        <v>S3/0/0</v>
      </c>
    </row>
    <row r="265" spans="2:28" s="91" customFormat="1">
      <c r="B265" s="101"/>
      <c r="C265" s="250">
        <f>'Año 2'!C59</f>
        <v>0</v>
      </c>
      <c r="D265" s="250">
        <f>'Año 2'!D59</f>
        <v>0</v>
      </c>
      <c r="E265" s="250">
        <f>'Año 2'!E59</f>
        <v>0</v>
      </c>
      <c r="F265" s="250">
        <f>'Año 2'!F59</f>
        <v>0</v>
      </c>
      <c r="G265" s="326" t="e">
        <f t="shared" ca="1" si="8"/>
        <v>#NAME?</v>
      </c>
      <c r="H265" s="326" t="e">
        <f t="shared" ca="1" si="9"/>
        <v>#NAME?</v>
      </c>
      <c r="I265" s="326" t="e">
        <f t="shared" ca="1" si="10"/>
        <v>#NAME?</v>
      </c>
      <c r="J265" s="326" t="e">
        <f t="shared" ca="1" si="11"/>
        <v>#NAME?</v>
      </c>
      <c r="K265" s="96"/>
      <c r="L265" s="253">
        <f t="shared" si="5"/>
        <v>0</v>
      </c>
      <c r="M265" s="310" t="e">
        <f t="shared" ca="1" si="6"/>
        <v>#NAME?</v>
      </c>
      <c r="N265" s="104"/>
      <c r="O265" s="103"/>
      <c r="P265" s="157"/>
      <c r="Q265"/>
      <c r="R265"/>
      <c r="S265"/>
      <c r="T265"/>
      <c r="U265"/>
      <c r="V265"/>
      <c r="W265"/>
      <c r="X265"/>
      <c r="AB265" s="129" t="str">
        <f t="shared" si="7"/>
        <v>S3/0/0</v>
      </c>
    </row>
    <row r="266" spans="2:28" s="91" customFormat="1">
      <c r="B266" s="101"/>
      <c r="C266" s="250">
        <f>'Año 2'!C60</f>
        <v>0</v>
      </c>
      <c r="D266" s="250">
        <f>'Año 2'!D60</f>
        <v>0</v>
      </c>
      <c r="E266" s="250">
        <f>'Año 2'!E60</f>
        <v>0</v>
      </c>
      <c r="F266" s="250">
        <f>'Año 2'!F60</f>
        <v>0</v>
      </c>
      <c r="G266" s="326" t="e">
        <f t="shared" ca="1" si="8"/>
        <v>#NAME?</v>
      </c>
      <c r="H266" s="326" t="e">
        <f t="shared" ca="1" si="9"/>
        <v>#NAME?</v>
      </c>
      <c r="I266" s="326" t="e">
        <f t="shared" ca="1" si="10"/>
        <v>#NAME?</v>
      </c>
      <c r="J266" s="326" t="e">
        <f t="shared" ca="1" si="11"/>
        <v>#NAME?</v>
      </c>
      <c r="K266" s="96"/>
      <c r="L266" s="253">
        <f t="shared" si="5"/>
        <v>0</v>
      </c>
      <c r="M266" s="310" t="e">
        <f t="shared" ca="1" si="6"/>
        <v>#NAME?</v>
      </c>
      <c r="N266" s="104"/>
      <c r="O266" s="103"/>
      <c r="P266" s="157"/>
      <c r="Q266"/>
      <c r="R266"/>
      <c r="S266"/>
      <c r="T266"/>
      <c r="U266"/>
      <c r="V266"/>
      <c r="W266"/>
      <c r="X266"/>
      <c r="AB266" s="129" t="str">
        <f t="shared" si="7"/>
        <v>S3/0/0</v>
      </c>
    </row>
    <row r="267" spans="2:28" s="91" customFormat="1">
      <c r="B267" s="101"/>
      <c r="C267" s="250">
        <f>'Año 2'!C61</f>
        <v>0</v>
      </c>
      <c r="D267" s="250">
        <f>'Año 2'!D61</f>
        <v>0</v>
      </c>
      <c r="E267" s="250">
        <f>'Año 2'!E61</f>
        <v>0</v>
      </c>
      <c r="F267" s="250">
        <f>'Año 2'!F61</f>
        <v>0</v>
      </c>
      <c r="G267" s="326" t="e">
        <f t="shared" ca="1" si="8"/>
        <v>#NAME?</v>
      </c>
      <c r="H267" s="326" t="e">
        <f t="shared" ca="1" si="9"/>
        <v>#NAME?</v>
      </c>
      <c r="I267" s="326" t="e">
        <f t="shared" ca="1" si="10"/>
        <v>#NAME?</v>
      </c>
      <c r="J267" s="326" t="e">
        <f t="shared" ca="1" si="11"/>
        <v>#NAME?</v>
      </c>
      <c r="K267" s="96"/>
      <c r="L267" s="253">
        <f t="shared" si="5"/>
        <v>0</v>
      </c>
      <c r="M267" s="310" t="e">
        <f t="shared" ca="1" si="6"/>
        <v>#NAME?</v>
      </c>
      <c r="N267" s="104"/>
      <c r="O267" s="103"/>
      <c r="P267" s="157"/>
      <c r="Q267"/>
      <c r="R267"/>
      <c r="S267"/>
      <c r="T267"/>
      <c r="U267"/>
      <c r="V267"/>
      <c r="W267"/>
      <c r="X267"/>
      <c r="AB267" s="129" t="str">
        <f t="shared" si="7"/>
        <v>S3/0/0</v>
      </c>
    </row>
    <row r="268" spans="2:28" s="91" customFormat="1">
      <c r="B268" s="101"/>
      <c r="C268" s="250">
        <f>'Año 2'!C62</f>
        <v>0</v>
      </c>
      <c r="D268" s="250">
        <f>'Año 2'!D62</f>
        <v>0</v>
      </c>
      <c r="E268" s="250">
        <f>'Año 2'!E62</f>
        <v>0</v>
      </c>
      <c r="F268" s="250">
        <f>'Año 2'!F62</f>
        <v>0</v>
      </c>
      <c r="G268" s="326" t="e">
        <f t="shared" ca="1" si="8"/>
        <v>#NAME?</v>
      </c>
      <c r="H268" s="326" t="e">
        <f t="shared" ca="1" si="9"/>
        <v>#NAME?</v>
      </c>
      <c r="I268" s="326" t="e">
        <f t="shared" ca="1" si="10"/>
        <v>#NAME?</v>
      </c>
      <c r="J268" s="326" t="e">
        <f t="shared" ca="1" si="11"/>
        <v>#NAME?</v>
      </c>
      <c r="K268" s="96"/>
      <c r="L268" s="253">
        <f t="shared" si="5"/>
        <v>0</v>
      </c>
      <c r="M268" s="310" t="e">
        <f t="shared" ca="1" si="6"/>
        <v>#NAME?</v>
      </c>
      <c r="N268" s="104"/>
      <c r="O268" s="103"/>
      <c r="P268" s="157"/>
      <c r="Q268"/>
      <c r="R268"/>
      <c r="S268"/>
      <c r="T268"/>
      <c r="U268"/>
      <c r="V268"/>
      <c r="W268"/>
      <c r="X268"/>
      <c r="AB268" s="129" t="str">
        <f t="shared" si="7"/>
        <v>S3/0/0</v>
      </c>
    </row>
    <row r="269" spans="2:28" s="91" customFormat="1">
      <c r="B269" s="101"/>
      <c r="C269" s="103"/>
      <c r="D269" s="103"/>
      <c r="E269" s="103"/>
      <c r="F269" s="103"/>
      <c r="G269" s="106"/>
      <c r="H269" s="106"/>
      <c r="I269" s="104"/>
      <c r="J269" s="107" t="s">
        <v>296</v>
      </c>
      <c r="K269" s="255">
        <f>SUM(K261:K268)</f>
        <v>0</v>
      </c>
      <c r="L269" s="254">
        <f>SUM(L261:L268)</f>
        <v>0</v>
      </c>
      <c r="M269" s="311" t="e">
        <f ca="1">SUM(M261:M268)</f>
        <v>#NAME?</v>
      </c>
      <c r="N269" s="104"/>
      <c r="O269" s="103"/>
      <c r="P269" s="157"/>
      <c r="Q269"/>
      <c r="R269"/>
      <c r="S269"/>
      <c r="T269"/>
      <c r="U269"/>
      <c r="V269"/>
      <c r="W269"/>
      <c r="X269"/>
    </row>
    <row r="270" spans="2:28" s="91" customFormat="1">
      <c r="B270" s="101"/>
      <c r="C270" s="103"/>
      <c r="D270" s="103"/>
      <c r="E270" s="103"/>
      <c r="F270" s="103"/>
      <c r="G270" s="106"/>
      <c r="H270" s="106"/>
      <c r="I270" s="106"/>
      <c r="J270" s="106"/>
      <c r="K270" s="107"/>
      <c r="L270" s="104"/>
      <c r="M270" s="104"/>
      <c r="N270" s="60"/>
      <c r="O270" s="103"/>
      <c r="P270" s="157"/>
      <c r="Q270"/>
      <c r="R270"/>
      <c r="S270"/>
      <c r="T270"/>
      <c r="U270"/>
      <c r="V270"/>
      <c r="W270"/>
      <c r="X270"/>
      <c r="AB270" s="60"/>
    </row>
    <row r="271" spans="2:28" s="91" customFormat="1" ht="31.5">
      <c r="B271" s="101"/>
      <c r="C271" s="215" t="s">
        <v>3</v>
      </c>
      <c r="D271" s="215" t="s">
        <v>4</v>
      </c>
      <c r="E271" s="215" t="s">
        <v>132</v>
      </c>
      <c r="F271" s="215" t="s">
        <v>95</v>
      </c>
      <c r="G271" s="215" t="s">
        <v>133</v>
      </c>
      <c r="H271" s="215" t="s">
        <v>273</v>
      </c>
      <c r="I271" s="215" t="s">
        <v>326</v>
      </c>
      <c r="J271" s="215" t="s">
        <v>281</v>
      </c>
      <c r="K271" s="215" t="s">
        <v>325</v>
      </c>
      <c r="L271" s="215" t="s">
        <v>284</v>
      </c>
      <c r="M271" s="215" t="s">
        <v>274</v>
      </c>
      <c r="N271" s="215" t="s">
        <v>324</v>
      </c>
      <c r="O271" s="103"/>
      <c r="P271" s="157"/>
      <c r="Q271"/>
      <c r="R271"/>
      <c r="S271"/>
      <c r="T271"/>
      <c r="U271"/>
      <c r="V271"/>
      <c r="W271"/>
      <c r="X271"/>
      <c r="AB271" s="60"/>
    </row>
    <row r="272" spans="2:28" s="91" customFormat="1">
      <c r="B272" s="101"/>
      <c r="C272" s="250" t="str">
        <f>'Año 2'!D65</f>
        <v>S4</v>
      </c>
      <c r="D272" s="250">
        <f>'Año 2'!F65</f>
        <v>0</v>
      </c>
      <c r="E272" s="93"/>
      <c r="F272" s="250" t="e">
        <f ca="1">_xlfn.IFS(E272='Año 2'!$C$110,'Año 2'!$D$110,E272='Año 2'!$C$111,'Año 2'!$D$111,E272='Año 2'!$C$112,'Año 2'!$D$112,E272="",0)</f>
        <v>#NAME?</v>
      </c>
      <c r="G272" s="93"/>
      <c r="H272" s="251" t="e">
        <f ca="1">CONCATENATE(C272,"-",F272,"-",G272)</f>
        <v>#NAME?</v>
      </c>
      <c r="I272" s="252">
        <f>K284</f>
        <v>0</v>
      </c>
      <c r="J272" s="92"/>
      <c r="K272" s="94"/>
      <c r="L272" s="53"/>
      <c r="M272" s="310" t="e">
        <f ca="1">_xlfn.IFS(H272="S4-0-",0,H272="S4-TR1-1",((I272/(1+J272))/38853)*1560,H272="S4-TR1-2",((I272/(1+J272))/77706)*3120,H272="S4-TR2-1",((I272/(1+J272))/77706)*3120,H272="S4-TR2-2",((I272/(1+J272))/155411)*6240,H272="S4-TR3-1",((I272/(1+J272))/116559)*4680,H272="S4-TR3-2",((I272/(1+J272))/233117)*9360,H272="S4-TR4-1",((I272/(1+J272))/155411)*6240,H272="S4-TR4-2",((I272/(1+J272))/310823)*12480,H272="S4-TR5-1",((I272/(1+J272))/194264)*7800,H272="S4-TR5-2",((I272/(1+J272))/388528)*15600)</f>
        <v>#NAME?</v>
      </c>
      <c r="N272" s="335"/>
      <c r="O272" s="103"/>
      <c r="P272" s="157"/>
      <c r="Q272"/>
      <c r="R272"/>
      <c r="S272"/>
      <c r="T272"/>
      <c r="U272"/>
      <c r="V272"/>
      <c r="W272"/>
      <c r="X272"/>
      <c r="AB272" s="60"/>
    </row>
    <row r="273" spans="2:28" s="91" customFormat="1">
      <c r="B273" s="101"/>
      <c r="C273" s="103"/>
      <c r="D273" s="103"/>
      <c r="E273" s="103"/>
      <c r="F273" s="103"/>
      <c r="G273" s="106"/>
      <c r="H273" s="106"/>
      <c r="I273" s="106"/>
      <c r="J273" s="106"/>
      <c r="K273" s="107"/>
      <c r="L273" s="104"/>
      <c r="M273" s="104"/>
      <c r="N273" s="60"/>
      <c r="O273" s="103"/>
      <c r="P273" s="157"/>
      <c r="Q273"/>
      <c r="R273"/>
      <c r="S273"/>
      <c r="T273"/>
      <c r="U273"/>
      <c r="V273"/>
      <c r="W273"/>
      <c r="X273"/>
      <c r="AB273" s="60"/>
    </row>
    <row r="274" spans="2:28" s="91" customFormat="1" ht="15.95" customHeight="1">
      <c r="B274" s="101"/>
      <c r="C274" s="218" t="s">
        <v>123</v>
      </c>
      <c r="D274" s="219"/>
      <c r="E274" s="219"/>
      <c r="F274" s="220"/>
      <c r="G274" s="221" t="s">
        <v>282</v>
      </c>
      <c r="H274" s="219"/>
      <c r="I274" s="222"/>
      <c r="J274" s="220"/>
      <c r="K274" s="223" t="s">
        <v>327</v>
      </c>
      <c r="L274" s="223" t="s">
        <v>327</v>
      </c>
      <c r="M274" s="223" t="s">
        <v>367</v>
      </c>
      <c r="N274" s="60"/>
      <c r="O274" s="103"/>
      <c r="P274" s="157"/>
      <c r="Q274"/>
      <c r="R274"/>
      <c r="S274"/>
      <c r="T274"/>
      <c r="U274"/>
      <c r="V274"/>
      <c r="W274"/>
      <c r="X274"/>
      <c r="AB274" s="60"/>
    </row>
    <row r="275" spans="2:28" s="91" customFormat="1">
      <c r="B275" s="101"/>
      <c r="C275" s="224" t="s">
        <v>104</v>
      </c>
      <c r="D275" s="224" t="s">
        <v>157</v>
      </c>
      <c r="E275" s="224" t="s">
        <v>105</v>
      </c>
      <c r="F275" s="224" t="s">
        <v>106</v>
      </c>
      <c r="G275" s="224" t="s">
        <v>182</v>
      </c>
      <c r="H275" s="224" t="s">
        <v>105</v>
      </c>
      <c r="I275" s="224" t="s">
        <v>106</v>
      </c>
      <c r="J275" s="224" t="s">
        <v>155</v>
      </c>
      <c r="K275" s="225" t="s">
        <v>328</v>
      </c>
      <c r="L275" s="225" t="s">
        <v>329</v>
      </c>
      <c r="M275" s="225" t="s">
        <v>307</v>
      </c>
      <c r="N275" s="60"/>
      <c r="O275" s="103"/>
      <c r="P275" s="157"/>
      <c r="Q275"/>
      <c r="R275"/>
      <c r="S275"/>
      <c r="T275"/>
      <c r="U275"/>
      <c r="V275"/>
      <c r="W275"/>
      <c r="X275"/>
      <c r="AB275" s="60"/>
    </row>
    <row r="276" spans="2:28" s="91" customFormat="1">
      <c r="B276" s="101"/>
      <c r="C276" s="250">
        <f>'Año 2'!C68</f>
        <v>0</v>
      </c>
      <c r="D276" s="250">
        <f>'Año 2'!D68</f>
        <v>0</v>
      </c>
      <c r="E276" s="250">
        <f>'Año 2'!E68</f>
        <v>0</v>
      </c>
      <c r="F276" s="250">
        <f>'Año 2'!F68</f>
        <v>0</v>
      </c>
      <c r="G276" s="326" t="e">
        <f ca="1">_xlfn.IFS(AB276="S4/0/0",0,AB276="S4/ICE/135",24,AB276="S4/ICE/150",24,AB276="S4/ICE/165",24,AB276="S4/ICE/180",26,AB276="S4/ICE/195",26,AB276="S4/ICE/210",26,AB276="S4/ICE/225",26,AB276="S4/HYB/135",26,AB276="S4/HYB/150",26,AB276="S4/HYB/165",26,AB276="S4/HYB/180",28,AB276="S4/HYB/195",28,AB276="S4/HYB/210",28,AB276="S4/HYB/225",28,AB276="S4/ELE/135",41,AB276="S4/ELE/150",41,AB276="S4/ELE/165",41,AB276="S4/ELE/180",43,AB276="S4/ELE/195",43,AB276="S4/ELE/210",43,AB276="S4/ELE/225",43)</f>
        <v>#NAME?</v>
      </c>
      <c r="H276" s="326" t="e">
        <f ca="1">_xlfn.IFS(E276=0,0,E276="O1",2,E276="O2",4,E276="O3",6)</f>
        <v>#NAME?</v>
      </c>
      <c r="I276" s="326" t="e">
        <f ca="1">_xlfn.IFS(F276=0,0,F276="T1",2,F276="T2",4,F276="T3",6)</f>
        <v>#NAME?</v>
      </c>
      <c r="J276" s="326" t="e">
        <f t="shared" ref="J276:J283" ca="1" si="12">SUM(G276:I276)</f>
        <v>#NAME?</v>
      </c>
      <c r="K276" s="96"/>
      <c r="L276" s="253">
        <f>IF(K276&gt;0,K276/$K$284,0%)</f>
        <v>0</v>
      </c>
      <c r="M276" s="310" t="e">
        <f ca="1">J276*K276</f>
        <v>#NAME?</v>
      </c>
      <c r="N276" s="60"/>
      <c r="O276" s="103"/>
      <c r="P276" s="157"/>
      <c r="Q276"/>
      <c r="R276"/>
      <c r="S276"/>
      <c r="T276"/>
      <c r="U276"/>
      <c r="V276"/>
      <c r="W276"/>
      <c r="X276"/>
      <c r="AB276" s="128" t="str">
        <f t="shared" ref="AB276:AB283" si="13">CONCATENATE($C$272,"/",C276,"/",D276)</f>
        <v>S4/0/0</v>
      </c>
    </row>
    <row r="277" spans="2:28" s="91" customFormat="1">
      <c r="B277" s="101"/>
      <c r="C277" s="250">
        <f>'Año 2'!C69</f>
        <v>0</v>
      </c>
      <c r="D277" s="250">
        <f>'Año 2'!D69</f>
        <v>0</v>
      </c>
      <c r="E277" s="250">
        <f>'Año 2'!E69</f>
        <v>0</v>
      </c>
      <c r="F277" s="250">
        <f>'Año 2'!F69</f>
        <v>0</v>
      </c>
      <c r="G277" s="326" t="e">
        <f t="shared" ref="G277:G283" ca="1" si="14">_xlfn.IFS(AB277="S4/0/0",0,AB277="S4/ICE/135",24,AB277="S4/ICE/150",24,AB277="S4/ICE/165",24,AB277="S4/ICE/180",26,AB277="S4/ICE/195",26,AB277="S4/ICE/210",26,AB277="S4/ICE/225",26,AB277="S4/HYB/135",26,AB277="S4/HYB/150",26,AB277="S4/HYB/165",26,AB277="S4/HYB/180",28,AB277="S4/HYB/195",28,AB277="S4/HYB/210",28,AB277="S4/HYB/225",28,AB277="S4/ELE/135",41,AB277="S4/ELE/150",41,AB277="S4/ELE/165",41,AB277="S4/ELE/180",43,AB277="S4/ELE/195",43,AB277="S4/ELE/210",43,AB277="S4/ELE/225",43)</f>
        <v>#NAME?</v>
      </c>
      <c r="H277" s="326" t="e">
        <f t="shared" ref="H277:H283" ca="1" si="15">_xlfn.IFS(E277=0,0,E277="O1",2,E277="O2",4,E277="O3",6)</f>
        <v>#NAME?</v>
      </c>
      <c r="I277" s="326" t="e">
        <f t="shared" ref="I277:I283" ca="1" si="16">_xlfn.IFS(F277=0,0,F277="T1",2,F277="T2",4,F277="T3",6)</f>
        <v>#NAME?</v>
      </c>
      <c r="J277" s="326" t="e">
        <f t="shared" ca="1" si="12"/>
        <v>#NAME?</v>
      </c>
      <c r="K277" s="96"/>
      <c r="L277" s="253">
        <f t="shared" ref="L277:L283" si="17">IF(K277&gt;0,K277/$K$284,0%)</f>
        <v>0</v>
      </c>
      <c r="M277" s="310" t="e">
        <f t="shared" ref="M277:M283" ca="1" si="18">J277*K277</f>
        <v>#NAME?</v>
      </c>
      <c r="N277" s="60"/>
      <c r="O277" s="103"/>
      <c r="P277" s="157"/>
      <c r="Q277"/>
      <c r="R277"/>
      <c r="S277"/>
      <c r="T277"/>
      <c r="U277"/>
      <c r="V277"/>
      <c r="W277"/>
      <c r="X277"/>
      <c r="AB277" s="128" t="str">
        <f t="shared" si="13"/>
        <v>S4/0/0</v>
      </c>
    </row>
    <row r="278" spans="2:28" s="91" customFormat="1">
      <c r="B278" s="101"/>
      <c r="C278" s="250">
        <f>'Año 2'!C70</f>
        <v>0</v>
      </c>
      <c r="D278" s="250">
        <f>'Año 2'!D70</f>
        <v>0</v>
      </c>
      <c r="E278" s="250">
        <f>'Año 2'!E70</f>
        <v>0</v>
      </c>
      <c r="F278" s="250">
        <f>'Año 2'!F70</f>
        <v>0</v>
      </c>
      <c r="G278" s="326" t="e">
        <f t="shared" ca="1" si="14"/>
        <v>#NAME?</v>
      </c>
      <c r="H278" s="326" t="e">
        <f t="shared" ca="1" si="15"/>
        <v>#NAME?</v>
      </c>
      <c r="I278" s="326" t="e">
        <f t="shared" ca="1" si="16"/>
        <v>#NAME?</v>
      </c>
      <c r="J278" s="326" t="e">
        <f t="shared" ca="1" si="12"/>
        <v>#NAME?</v>
      </c>
      <c r="K278" s="96"/>
      <c r="L278" s="253">
        <f t="shared" si="17"/>
        <v>0</v>
      </c>
      <c r="M278" s="310" t="e">
        <f t="shared" ca="1" si="18"/>
        <v>#NAME?</v>
      </c>
      <c r="N278" s="60"/>
      <c r="O278" s="103"/>
      <c r="P278" s="157"/>
      <c r="Q278"/>
      <c r="R278"/>
      <c r="S278"/>
      <c r="T278"/>
      <c r="U278"/>
      <c r="V278"/>
      <c r="W278"/>
      <c r="X278"/>
      <c r="AB278" s="128" t="str">
        <f t="shared" si="13"/>
        <v>S4/0/0</v>
      </c>
    </row>
    <row r="279" spans="2:28" s="91" customFormat="1">
      <c r="B279" s="101"/>
      <c r="C279" s="250">
        <f>'Año 2'!C71</f>
        <v>0</v>
      </c>
      <c r="D279" s="250">
        <f>'Año 2'!D71</f>
        <v>0</v>
      </c>
      <c r="E279" s="250">
        <f>'Año 2'!E71</f>
        <v>0</v>
      </c>
      <c r="F279" s="250">
        <f>'Año 2'!F71</f>
        <v>0</v>
      </c>
      <c r="G279" s="326" t="e">
        <f t="shared" ca="1" si="14"/>
        <v>#NAME?</v>
      </c>
      <c r="H279" s="326" t="e">
        <f t="shared" ca="1" si="15"/>
        <v>#NAME?</v>
      </c>
      <c r="I279" s="326" t="e">
        <f t="shared" ca="1" si="16"/>
        <v>#NAME?</v>
      </c>
      <c r="J279" s="326" t="e">
        <f t="shared" ca="1" si="12"/>
        <v>#NAME?</v>
      </c>
      <c r="K279" s="96"/>
      <c r="L279" s="253">
        <f t="shared" si="17"/>
        <v>0</v>
      </c>
      <c r="M279" s="310" t="e">
        <f t="shared" ca="1" si="18"/>
        <v>#NAME?</v>
      </c>
      <c r="N279" s="60"/>
      <c r="O279" s="103"/>
      <c r="P279" s="157"/>
      <c r="Q279"/>
      <c r="R279"/>
      <c r="S279"/>
      <c r="T279"/>
      <c r="U279"/>
      <c r="V279"/>
      <c r="W279"/>
      <c r="X279"/>
      <c r="AB279" s="128" t="str">
        <f t="shared" si="13"/>
        <v>S4/0/0</v>
      </c>
    </row>
    <row r="280" spans="2:28" s="91" customFormat="1">
      <c r="B280" s="101"/>
      <c r="C280" s="250">
        <f>'Año 2'!C72</f>
        <v>0</v>
      </c>
      <c r="D280" s="250">
        <f>'Año 2'!D72</f>
        <v>0</v>
      </c>
      <c r="E280" s="250">
        <f>'Año 2'!E72</f>
        <v>0</v>
      </c>
      <c r="F280" s="250">
        <f>'Año 2'!F72</f>
        <v>0</v>
      </c>
      <c r="G280" s="326" t="e">
        <f t="shared" ca="1" si="14"/>
        <v>#NAME?</v>
      </c>
      <c r="H280" s="326" t="e">
        <f t="shared" ca="1" si="15"/>
        <v>#NAME?</v>
      </c>
      <c r="I280" s="326" t="e">
        <f t="shared" ca="1" si="16"/>
        <v>#NAME?</v>
      </c>
      <c r="J280" s="326" t="e">
        <f t="shared" ca="1" si="12"/>
        <v>#NAME?</v>
      </c>
      <c r="K280" s="96"/>
      <c r="L280" s="253">
        <f t="shared" si="17"/>
        <v>0</v>
      </c>
      <c r="M280" s="310" t="e">
        <f t="shared" ca="1" si="18"/>
        <v>#NAME?</v>
      </c>
      <c r="N280" s="60"/>
      <c r="O280" s="103"/>
      <c r="P280" s="157"/>
      <c r="Q280"/>
      <c r="R280"/>
      <c r="S280"/>
      <c r="T280"/>
      <c r="U280"/>
      <c r="V280"/>
      <c r="W280"/>
      <c r="X280"/>
      <c r="AB280" s="128" t="str">
        <f t="shared" si="13"/>
        <v>S4/0/0</v>
      </c>
    </row>
    <row r="281" spans="2:28" s="91" customFormat="1">
      <c r="B281" s="101"/>
      <c r="C281" s="250">
        <f>'Año 2'!C73</f>
        <v>0</v>
      </c>
      <c r="D281" s="250">
        <f>'Año 2'!D73</f>
        <v>0</v>
      </c>
      <c r="E281" s="250">
        <f>'Año 2'!E73</f>
        <v>0</v>
      </c>
      <c r="F281" s="250">
        <f>'Año 2'!F73</f>
        <v>0</v>
      </c>
      <c r="G281" s="326" t="e">
        <f t="shared" ca="1" si="14"/>
        <v>#NAME?</v>
      </c>
      <c r="H281" s="326" t="e">
        <f t="shared" ca="1" si="15"/>
        <v>#NAME?</v>
      </c>
      <c r="I281" s="326" t="e">
        <f t="shared" ca="1" si="16"/>
        <v>#NAME?</v>
      </c>
      <c r="J281" s="326" t="e">
        <f t="shared" ca="1" si="12"/>
        <v>#NAME?</v>
      </c>
      <c r="K281" s="96"/>
      <c r="L281" s="253">
        <f t="shared" si="17"/>
        <v>0</v>
      </c>
      <c r="M281" s="310" t="e">
        <f t="shared" ca="1" si="18"/>
        <v>#NAME?</v>
      </c>
      <c r="N281" s="60"/>
      <c r="O281" s="103"/>
      <c r="P281" s="157"/>
      <c r="Q281"/>
      <c r="R281"/>
      <c r="S281"/>
      <c r="T281"/>
      <c r="U281"/>
      <c r="V281"/>
      <c r="W281"/>
      <c r="X281"/>
      <c r="AB281" s="128" t="str">
        <f t="shared" si="13"/>
        <v>S4/0/0</v>
      </c>
    </row>
    <row r="282" spans="2:28" customFormat="1">
      <c r="B282" s="98"/>
      <c r="C282" s="250">
        <f>'Año 2'!C74</f>
        <v>0</v>
      </c>
      <c r="D282" s="250">
        <f>'Año 2'!D74</f>
        <v>0</v>
      </c>
      <c r="E282" s="250">
        <f>'Año 2'!E74</f>
        <v>0</v>
      </c>
      <c r="F282" s="250">
        <f>'Año 2'!F74</f>
        <v>0</v>
      </c>
      <c r="G282" s="326" t="e">
        <f t="shared" ca="1" si="14"/>
        <v>#NAME?</v>
      </c>
      <c r="H282" s="326" t="e">
        <f t="shared" ca="1" si="15"/>
        <v>#NAME?</v>
      </c>
      <c r="I282" s="326" t="e">
        <f t="shared" ca="1" si="16"/>
        <v>#NAME?</v>
      </c>
      <c r="J282" s="326" t="e">
        <f t="shared" ca="1" si="12"/>
        <v>#NAME?</v>
      </c>
      <c r="K282" s="96"/>
      <c r="L282" s="253">
        <f t="shared" si="17"/>
        <v>0</v>
      </c>
      <c r="M282" s="310" t="e">
        <f t="shared" ca="1" si="18"/>
        <v>#NAME?</v>
      </c>
      <c r="N282" s="60"/>
      <c r="O282" s="103"/>
      <c r="P282" s="157"/>
      <c r="AB282" s="128" t="str">
        <f t="shared" si="13"/>
        <v>S4/0/0</v>
      </c>
    </row>
    <row r="283" spans="2:28" customFormat="1">
      <c r="B283" s="98"/>
      <c r="C283" s="250">
        <f>'Año 2'!C75</f>
        <v>0</v>
      </c>
      <c r="D283" s="250">
        <f>'Año 2'!D75</f>
        <v>0</v>
      </c>
      <c r="E283" s="250">
        <f>'Año 2'!E75</f>
        <v>0</v>
      </c>
      <c r="F283" s="250">
        <f>'Año 2'!F75</f>
        <v>0</v>
      </c>
      <c r="G283" s="326" t="e">
        <f t="shared" ca="1" si="14"/>
        <v>#NAME?</v>
      </c>
      <c r="H283" s="326" t="e">
        <f t="shared" ca="1" si="15"/>
        <v>#NAME?</v>
      </c>
      <c r="I283" s="326" t="e">
        <f t="shared" ca="1" si="16"/>
        <v>#NAME?</v>
      </c>
      <c r="J283" s="326" t="e">
        <f t="shared" ca="1" si="12"/>
        <v>#NAME?</v>
      </c>
      <c r="K283" s="96"/>
      <c r="L283" s="253">
        <f t="shared" si="17"/>
        <v>0</v>
      </c>
      <c r="M283" s="310" t="e">
        <f t="shared" ca="1" si="18"/>
        <v>#NAME?</v>
      </c>
      <c r="N283" s="60"/>
      <c r="O283" s="103"/>
      <c r="P283" s="157"/>
      <c r="AB283" s="128" t="str">
        <f t="shared" si="13"/>
        <v>S4/0/0</v>
      </c>
    </row>
    <row r="284" spans="2:28" customFormat="1">
      <c r="B284" s="98"/>
      <c r="C284" s="103"/>
      <c r="D284" s="103"/>
      <c r="E284" s="103"/>
      <c r="F284" s="103"/>
      <c r="G284" s="106"/>
      <c r="H284" s="106"/>
      <c r="I284" s="106"/>
      <c r="J284" s="107" t="s">
        <v>298</v>
      </c>
      <c r="K284" s="255">
        <f>SUM(K276:K283)</f>
        <v>0</v>
      </c>
      <c r="L284" s="254">
        <f>SUM(L276:L283)</f>
        <v>0</v>
      </c>
      <c r="M284" s="311" t="e">
        <f ca="1">SUM(M276:M283)</f>
        <v>#NAME?</v>
      </c>
      <c r="N284" s="60"/>
      <c r="O284" s="103"/>
      <c r="P284" s="157"/>
    </row>
    <row r="285" spans="2:28" customFormat="1">
      <c r="B285" s="98"/>
      <c r="C285" s="103"/>
      <c r="D285" s="103"/>
      <c r="E285" s="103"/>
      <c r="F285" s="103"/>
      <c r="G285" s="106"/>
      <c r="H285" s="106"/>
      <c r="I285" s="106"/>
      <c r="J285" s="106"/>
      <c r="K285" s="107"/>
      <c r="L285" s="60"/>
      <c r="M285" s="60"/>
      <c r="N285" s="60"/>
      <c r="O285" s="103"/>
      <c r="P285" s="157"/>
    </row>
    <row r="286" spans="2:28" customFormat="1" ht="31.5">
      <c r="B286" s="98"/>
      <c r="C286" s="215" t="s">
        <v>3</v>
      </c>
      <c r="D286" s="215" t="s">
        <v>4</v>
      </c>
      <c r="E286" s="215" t="s">
        <v>132</v>
      </c>
      <c r="F286" s="215" t="s">
        <v>95</v>
      </c>
      <c r="G286" s="215" t="s">
        <v>133</v>
      </c>
      <c r="H286" s="215" t="s">
        <v>273</v>
      </c>
      <c r="I286" s="215" t="s">
        <v>326</v>
      </c>
      <c r="J286" s="215" t="s">
        <v>281</v>
      </c>
      <c r="K286" s="215" t="s">
        <v>325</v>
      </c>
      <c r="L286" s="215" t="s">
        <v>284</v>
      </c>
      <c r="M286" s="215" t="s">
        <v>274</v>
      </c>
      <c r="N286" s="215" t="s">
        <v>324</v>
      </c>
      <c r="O286" s="103"/>
      <c r="P286" s="157"/>
    </row>
    <row r="287" spans="2:28" customFormat="1">
      <c r="B287" s="98"/>
      <c r="C287" s="250" t="str">
        <f>'Año 2'!D78</f>
        <v>S5</v>
      </c>
      <c r="D287" s="250">
        <f>'Año 2'!F78</f>
        <v>0</v>
      </c>
      <c r="E287" s="93"/>
      <c r="F287" s="250" t="e">
        <f ca="1">_xlfn.IFS(E287='Año 2'!$C$110,'Año 2'!$D$110,E287='Año 2'!$C$111,'Año 2'!$D$111,E287='Año 2'!$C$112,'Año 2'!$D$112,E287="",0)</f>
        <v>#NAME?</v>
      </c>
      <c r="G287" s="93"/>
      <c r="H287" s="251" t="e">
        <f ca="1">CONCATENATE(C287,"-",F287,"-",G287)</f>
        <v>#NAME?</v>
      </c>
      <c r="I287" s="252">
        <f>K299</f>
        <v>0</v>
      </c>
      <c r="J287" s="92"/>
      <c r="K287" s="94"/>
      <c r="L287" s="53"/>
      <c r="M287" s="310" t="e">
        <f ca="1">_xlfn.IFS(H287="S5-0-",0,H287="S5-TR1-1",((I287/(1+J287))/49920)*1560,H287="S5-TR1-2",((I287/(1+J287))/99840)*3120,H287="S5-TR2-1",((I287/(1+J287))/99840)*3120,H287="S5-TR2-2",((I287/(1+J287))/199680)*6240,H287="S5-TR3-1",((I287/(1+J287))/149760)*4680,H287="S5-TR3-2",((I287/(1+J287))/299520)*9360,H287="S5-TR4-1",((I287/(1+J287))/199680)*6240,H287="S5-TR4-2",((I287/(1+J287))/399360)*12480,H287="S5-TR5-1",((I287/(1+J287))/249600)*7800,H287="S5-TR5-2",((I287/(1+J287))/499200)*15600)</f>
        <v>#NAME?</v>
      </c>
      <c r="N287" s="335"/>
      <c r="O287" s="103"/>
      <c r="P287" s="157"/>
    </row>
    <row r="288" spans="2:28" customFormat="1">
      <c r="B288" s="98"/>
      <c r="C288" s="103"/>
      <c r="D288" s="103"/>
      <c r="E288" s="103"/>
      <c r="F288" s="103"/>
      <c r="G288" s="106"/>
      <c r="H288" s="106"/>
      <c r="I288" s="106"/>
      <c r="J288" s="106"/>
      <c r="K288" s="107"/>
      <c r="L288" s="104"/>
      <c r="M288" s="60"/>
      <c r="N288" s="60"/>
      <c r="O288" s="103"/>
      <c r="P288" s="157"/>
    </row>
    <row r="289" spans="2:28" customFormat="1" ht="15.95" customHeight="1">
      <c r="B289" s="98"/>
      <c r="C289" s="218" t="s">
        <v>123</v>
      </c>
      <c r="D289" s="219"/>
      <c r="E289" s="219"/>
      <c r="F289" s="220"/>
      <c r="G289" s="221" t="s">
        <v>282</v>
      </c>
      <c r="H289" s="219"/>
      <c r="I289" s="338"/>
      <c r="J289" s="220"/>
      <c r="K289" s="223" t="s">
        <v>327</v>
      </c>
      <c r="L289" s="223" t="s">
        <v>327</v>
      </c>
      <c r="M289" s="223" t="s">
        <v>367</v>
      </c>
      <c r="N289" s="60"/>
      <c r="O289" s="103"/>
      <c r="P289" s="157"/>
    </row>
    <row r="290" spans="2:28" customFormat="1" ht="15.95" customHeight="1">
      <c r="B290" s="98"/>
      <c r="C290" s="224" t="s">
        <v>104</v>
      </c>
      <c r="D290" s="224" t="s">
        <v>157</v>
      </c>
      <c r="E290" s="224" t="s">
        <v>105</v>
      </c>
      <c r="F290" s="224" t="s">
        <v>106</v>
      </c>
      <c r="G290" s="224" t="s">
        <v>182</v>
      </c>
      <c r="H290" s="224" t="s">
        <v>105</v>
      </c>
      <c r="I290" s="224" t="s">
        <v>106</v>
      </c>
      <c r="J290" s="224" t="s">
        <v>155</v>
      </c>
      <c r="K290" s="225" t="s">
        <v>328</v>
      </c>
      <c r="L290" s="225" t="s">
        <v>329</v>
      </c>
      <c r="M290" s="225" t="s">
        <v>307</v>
      </c>
      <c r="N290" s="60"/>
      <c r="O290" s="103"/>
      <c r="P290" s="157"/>
    </row>
    <row r="291" spans="2:28" customFormat="1">
      <c r="B291" s="98"/>
      <c r="C291" s="250">
        <f>'Año 2'!C81</f>
        <v>0</v>
      </c>
      <c r="D291" s="250">
        <f>'Año 2'!D81</f>
        <v>0</v>
      </c>
      <c r="E291" s="250">
        <f>'Año 2'!E81</f>
        <v>0</v>
      </c>
      <c r="F291" s="250">
        <f>'Año 2'!F81</f>
        <v>0</v>
      </c>
      <c r="G291" s="326" t="e">
        <f ca="1">_xlfn.IFS(AB291="S5/0/0",0,AB291="S5/ICE/90",20,AB291="S5/ICE/105",20,AB291="S5/ICE/120",20,AB291="S5/ICE/135",20,AB291="S5/ICE/150",24,AB291="S5/ICE/165",24,AB291="S5/ICE/180",24,AB291="S5/ICE/195",26,AB291="S5/ICE/210",26,AB291="S5/ICE/225",26,AB291="S5/HYB/90",22,AB291="S5/HYB/105",22,AB291="S5/HYB/120",22,AB291="S5/HYB/135",22,AB291="S5/HYB/150",26,AB291="S5/HYB/165",26,AB291="S5/HYB/180",26,AB291="S5/HYB/195",28,AB291="S5/HYB/210",28,AB291="S5/HYB/225",28,AB291="S5/ELE/90",37,AB291="S5/ELE/105",37,AB291="S5/ELE/120",37,AB291="S5/ELE/135",37,AB291="S5/ELE/150",41,AB291="S5/ELE/165",41,AB291="S5/ELE/180",41,AB291="S5/ELE/195",43,AB291="S5/ELE/210",43,AB291="S5/ELE/225",43)</f>
        <v>#NAME?</v>
      </c>
      <c r="H291" s="326" t="e">
        <f ca="1">_xlfn.IFS(E291=0,0,E291="O1",2,E291="O2",4,E291="O3",6)</f>
        <v>#NAME?</v>
      </c>
      <c r="I291" s="326" t="e">
        <f ca="1">_xlfn.IFS(F291=0,0,F291="T1",2,F291="T2",4,F291="T3",6)</f>
        <v>#NAME?</v>
      </c>
      <c r="J291" s="326" t="e">
        <f t="shared" ref="J291" ca="1" si="19">SUM(G291:I291)</f>
        <v>#NAME?</v>
      </c>
      <c r="K291" s="96"/>
      <c r="L291" s="253">
        <f>IF(K291&gt;0,K291/$K$299,0%)</f>
        <v>0</v>
      </c>
      <c r="M291" s="310" t="e">
        <f ca="1">J291*K291</f>
        <v>#NAME?</v>
      </c>
      <c r="N291" s="60"/>
      <c r="O291" s="103"/>
      <c r="P291" s="157"/>
      <c r="AB291" s="88" t="str">
        <f t="shared" ref="AB291:AB298" si="20">CONCATENATE($C$287,"/",C291,"/",D291)</f>
        <v>S5/0/0</v>
      </c>
    </row>
    <row r="292" spans="2:28" customFormat="1">
      <c r="B292" s="98"/>
      <c r="C292" s="250">
        <f>'Año 2'!C82</f>
        <v>0</v>
      </c>
      <c r="D292" s="250">
        <f>'Año 2'!D82</f>
        <v>0</v>
      </c>
      <c r="E292" s="250">
        <f>'Año 2'!E82</f>
        <v>0</v>
      </c>
      <c r="F292" s="250">
        <f>'Año 2'!F82</f>
        <v>0</v>
      </c>
      <c r="G292" s="326" t="e">
        <f t="shared" ref="G292:G298" ca="1" si="21">_xlfn.IFS(AB292="S5/0/0",0,AB292="S5/ICE/90",20,AB292="S5/ICE/105",20,AB292="S5/ICE/120",20,AB292="S5/ICE/135",20,AB292="S5/ICE/150",24,AB292="S5/ICE/165",24,AB292="S5/ICE/180",24,AB292="S5/ICE/195",26,AB292="S5/ICE/210",26,AB292="S5/ICE/225",26,AB292="S5/HYB/90",22,AB292="S5/HYB/105",22,AB292="S5/HYB/120",22,AB292="S5/HYB/135",22,AB292="S5/HYB/150",26,AB292="S5/HYB/165",26,AB292="S5/HYB/180",26,AB292="S5/HYB/195",28,AB292="S5/HYB/210",28,AB292="S5/HYB/225",28,AB292="S5/ELE/90",37,AB292="S5/ELE/105",37,AB292="S5/ELE/120",37,AB292="S5/ELE/135",37,AB292="S5/ELE/150",41,AB292="S5/ELE/165",41,AB292="S5/ELE/180",41,AB292="S5/ELE/195",43,AB292="S5/ELE/210",43,AB292="S5/ELE/225",43)</f>
        <v>#NAME?</v>
      </c>
      <c r="H292" s="326" t="e">
        <f t="shared" ref="H292:H298" ca="1" si="22">_xlfn.IFS(E292=0,0,E292="O1",2,E292="O2",4,E292="O3",6)</f>
        <v>#NAME?</v>
      </c>
      <c r="I292" s="326" t="e">
        <f t="shared" ref="I292:I298" ca="1" si="23">_xlfn.IFS(F292=0,0,F292="T1",2,F292="T2",4,F292="T3",6)</f>
        <v>#NAME?</v>
      </c>
      <c r="J292" s="326" t="e">
        <f t="shared" ref="J292:J298" ca="1" si="24">SUM(G292:I292)</f>
        <v>#NAME?</v>
      </c>
      <c r="K292" s="96"/>
      <c r="L292" s="253">
        <f t="shared" ref="L292:L298" si="25">IF(K292&gt;0,K292/$K$299,0%)</f>
        <v>0</v>
      </c>
      <c r="M292" s="310" t="e">
        <f t="shared" ref="M292:M298" ca="1" si="26">J292*K292</f>
        <v>#NAME?</v>
      </c>
      <c r="N292" s="60"/>
      <c r="O292" s="103"/>
      <c r="P292" s="157"/>
      <c r="AB292" s="88" t="str">
        <f t="shared" si="20"/>
        <v>S5/0/0</v>
      </c>
    </row>
    <row r="293" spans="2:28" customFormat="1">
      <c r="B293" s="98"/>
      <c r="C293" s="250">
        <f>'Año 2'!C83</f>
        <v>0</v>
      </c>
      <c r="D293" s="250">
        <f>'Año 2'!D83</f>
        <v>0</v>
      </c>
      <c r="E293" s="250">
        <f>'Año 2'!E83</f>
        <v>0</v>
      </c>
      <c r="F293" s="250">
        <f>'Año 2'!F83</f>
        <v>0</v>
      </c>
      <c r="G293" s="326" t="e">
        <f t="shared" ca="1" si="21"/>
        <v>#NAME?</v>
      </c>
      <c r="H293" s="326" t="e">
        <f t="shared" ca="1" si="22"/>
        <v>#NAME?</v>
      </c>
      <c r="I293" s="326" t="e">
        <f t="shared" ca="1" si="23"/>
        <v>#NAME?</v>
      </c>
      <c r="J293" s="326" t="e">
        <f t="shared" ca="1" si="24"/>
        <v>#NAME?</v>
      </c>
      <c r="K293" s="96"/>
      <c r="L293" s="253">
        <f t="shared" si="25"/>
        <v>0</v>
      </c>
      <c r="M293" s="310" t="e">
        <f t="shared" ca="1" si="26"/>
        <v>#NAME?</v>
      </c>
      <c r="N293" s="60"/>
      <c r="O293" s="103"/>
      <c r="P293" s="157"/>
      <c r="AB293" s="88" t="str">
        <f t="shared" si="20"/>
        <v>S5/0/0</v>
      </c>
    </row>
    <row r="294" spans="2:28" customFormat="1">
      <c r="B294" s="98"/>
      <c r="C294" s="250">
        <f>'Año 2'!C84</f>
        <v>0</v>
      </c>
      <c r="D294" s="250">
        <f>'Año 2'!D84</f>
        <v>0</v>
      </c>
      <c r="E294" s="250">
        <f>'Año 2'!E84</f>
        <v>0</v>
      </c>
      <c r="F294" s="250">
        <f>'Año 2'!F84</f>
        <v>0</v>
      </c>
      <c r="G294" s="326" t="e">
        <f t="shared" ca="1" si="21"/>
        <v>#NAME?</v>
      </c>
      <c r="H294" s="326" t="e">
        <f t="shared" ca="1" si="22"/>
        <v>#NAME?</v>
      </c>
      <c r="I294" s="326" t="e">
        <f t="shared" ca="1" si="23"/>
        <v>#NAME?</v>
      </c>
      <c r="J294" s="326" t="e">
        <f t="shared" ca="1" si="24"/>
        <v>#NAME?</v>
      </c>
      <c r="K294" s="96"/>
      <c r="L294" s="253">
        <f t="shared" si="25"/>
        <v>0</v>
      </c>
      <c r="M294" s="310" t="e">
        <f t="shared" ca="1" si="26"/>
        <v>#NAME?</v>
      </c>
      <c r="N294" s="60"/>
      <c r="O294" s="103"/>
      <c r="P294" s="157"/>
      <c r="AB294" s="88" t="str">
        <f t="shared" si="20"/>
        <v>S5/0/0</v>
      </c>
    </row>
    <row r="295" spans="2:28" customFormat="1">
      <c r="B295" s="98"/>
      <c r="C295" s="250">
        <f>'Año 2'!C85</f>
        <v>0</v>
      </c>
      <c r="D295" s="250">
        <f>'Año 2'!D85</f>
        <v>0</v>
      </c>
      <c r="E295" s="250">
        <f>'Año 2'!E85</f>
        <v>0</v>
      </c>
      <c r="F295" s="250">
        <f>'Año 2'!F85</f>
        <v>0</v>
      </c>
      <c r="G295" s="326" t="e">
        <f t="shared" ca="1" si="21"/>
        <v>#NAME?</v>
      </c>
      <c r="H295" s="326" t="e">
        <f t="shared" ca="1" si="22"/>
        <v>#NAME?</v>
      </c>
      <c r="I295" s="326" t="e">
        <f t="shared" ca="1" si="23"/>
        <v>#NAME?</v>
      </c>
      <c r="J295" s="326" t="e">
        <f t="shared" ca="1" si="24"/>
        <v>#NAME?</v>
      </c>
      <c r="K295" s="96"/>
      <c r="L295" s="253">
        <f t="shared" si="25"/>
        <v>0</v>
      </c>
      <c r="M295" s="310" t="e">
        <f t="shared" ca="1" si="26"/>
        <v>#NAME?</v>
      </c>
      <c r="N295" s="60"/>
      <c r="O295" s="103"/>
      <c r="P295" s="157"/>
      <c r="AB295" s="88" t="str">
        <f t="shared" si="20"/>
        <v>S5/0/0</v>
      </c>
    </row>
    <row r="296" spans="2:28" customFormat="1">
      <c r="B296" s="98"/>
      <c r="C296" s="250">
        <f>'Año 2'!C86</f>
        <v>0</v>
      </c>
      <c r="D296" s="250">
        <f>'Año 2'!D86</f>
        <v>0</v>
      </c>
      <c r="E296" s="250">
        <f>'Año 2'!E86</f>
        <v>0</v>
      </c>
      <c r="F296" s="250">
        <f>'Año 2'!F86</f>
        <v>0</v>
      </c>
      <c r="G296" s="326" t="e">
        <f t="shared" ca="1" si="21"/>
        <v>#NAME?</v>
      </c>
      <c r="H296" s="326" t="e">
        <f t="shared" ca="1" si="22"/>
        <v>#NAME?</v>
      </c>
      <c r="I296" s="326" t="e">
        <f t="shared" ca="1" si="23"/>
        <v>#NAME?</v>
      </c>
      <c r="J296" s="326" t="e">
        <f t="shared" ca="1" si="24"/>
        <v>#NAME?</v>
      </c>
      <c r="K296" s="96"/>
      <c r="L296" s="253">
        <f t="shared" si="25"/>
        <v>0</v>
      </c>
      <c r="M296" s="310" t="e">
        <f t="shared" ca="1" si="26"/>
        <v>#NAME?</v>
      </c>
      <c r="N296" s="60"/>
      <c r="O296" s="103"/>
      <c r="P296" s="157"/>
      <c r="AB296" s="88" t="str">
        <f t="shared" si="20"/>
        <v>S5/0/0</v>
      </c>
    </row>
    <row r="297" spans="2:28" customFormat="1">
      <c r="B297" s="98"/>
      <c r="C297" s="250">
        <f>'Año 2'!C87</f>
        <v>0</v>
      </c>
      <c r="D297" s="250">
        <f>'Año 2'!D87</f>
        <v>0</v>
      </c>
      <c r="E297" s="250">
        <f>'Año 2'!E87</f>
        <v>0</v>
      </c>
      <c r="F297" s="250">
        <f>'Año 2'!F87</f>
        <v>0</v>
      </c>
      <c r="G297" s="326" t="e">
        <f t="shared" ca="1" si="21"/>
        <v>#NAME?</v>
      </c>
      <c r="H297" s="326" t="e">
        <f t="shared" ca="1" si="22"/>
        <v>#NAME?</v>
      </c>
      <c r="I297" s="326" t="e">
        <f t="shared" ca="1" si="23"/>
        <v>#NAME?</v>
      </c>
      <c r="J297" s="326" t="e">
        <f t="shared" ca="1" si="24"/>
        <v>#NAME?</v>
      </c>
      <c r="K297" s="96"/>
      <c r="L297" s="253">
        <f t="shared" si="25"/>
        <v>0</v>
      </c>
      <c r="M297" s="310" t="e">
        <f t="shared" ca="1" si="26"/>
        <v>#NAME?</v>
      </c>
      <c r="N297" s="60"/>
      <c r="O297" s="103"/>
      <c r="P297" s="157"/>
      <c r="AB297" s="88" t="str">
        <f t="shared" si="20"/>
        <v>S5/0/0</v>
      </c>
    </row>
    <row r="298" spans="2:28" customFormat="1">
      <c r="B298" s="98"/>
      <c r="C298" s="250">
        <f>'Año 2'!C88</f>
        <v>0</v>
      </c>
      <c r="D298" s="250">
        <f>'Año 2'!D88</f>
        <v>0</v>
      </c>
      <c r="E298" s="250">
        <f>'Año 2'!E88</f>
        <v>0</v>
      </c>
      <c r="F298" s="250">
        <f>'Año 2'!F88</f>
        <v>0</v>
      </c>
      <c r="G298" s="326" t="e">
        <f t="shared" ca="1" si="21"/>
        <v>#NAME?</v>
      </c>
      <c r="H298" s="326" t="e">
        <f t="shared" ca="1" si="22"/>
        <v>#NAME?</v>
      </c>
      <c r="I298" s="326" t="e">
        <f t="shared" ca="1" si="23"/>
        <v>#NAME?</v>
      </c>
      <c r="J298" s="326" t="e">
        <f t="shared" ca="1" si="24"/>
        <v>#NAME?</v>
      </c>
      <c r="K298" s="96"/>
      <c r="L298" s="253">
        <f t="shared" si="25"/>
        <v>0</v>
      </c>
      <c r="M298" s="310" t="e">
        <f t="shared" ca="1" si="26"/>
        <v>#NAME?</v>
      </c>
      <c r="N298" s="60"/>
      <c r="O298" s="103"/>
      <c r="P298" s="157"/>
      <c r="AB298" s="88" t="str">
        <f t="shared" si="20"/>
        <v>S5/0/0</v>
      </c>
    </row>
    <row r="299" spans="2:28" customFormat="1">
      <c r="B299" s="98"/>
      <c r="C299" s="103"/>
      <c r="D299" s="103"/>
      <c r="E299" s="103"/>
      <c r="F299" s="103"/>
      <c r="G299" s="103"/>
      <c r="H299" s="103"/>
      <c r="I299" s="103"/>
      <c r="J299" s="107" t="s">
        <v>297</v>
      </c>
      <c r="K299" s="255">
        <f>SUM(K291:K298)</f>
        <v>0</v>
      </c>
      <c r="L299" s="254">
        <f>SUM(L291:L298)</f>
        <v>0</v>
      </c>
      <c r="M299" s="311" t="e">
        <f ca="1">SUM(M291:M298)</f>
        <v>#NAME?</v>
      </c>
      <c r="N299" s="60"/>
      <c r="O299" s="103"/>
      <c r="P299" s="157"/>
    </row>
    <row r="300" spans="2:28" customFormat="1">
      <c r="B300" s="98"/>
      <c r="C300" s="56" t="s">
        <v>147</v>
      </c>
      <c r="D300" s="60"/>
      <c r="E300" s="60"/>
      <c r="F300" s="60"/>
      <c r="G300" s="60"/>
      <c r="H300" s="60"/>
      <c r="I300" s="60"/>
      <c r="J300" s="2"/>
      <c r="K300" s="2"/>
      <c r="L300" s="60"/>
      <c r="M300" s="60"/>
      <c r="N300" s="60"/>
      <c r="O300" s="60"/>
      <c r="P300" s="99"/>
    </row>
    <row r="301" spans="2:28">
      <c r="B301" s="20"/>
      <c r="C301" s="56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1"/>
      <c r="P301" s="22"/>
      <c r="Q301"/>
      <c r="R301"/>
      <c r="S301"/>
      <c r="T301"/>
      <c r="U301"/>
      <c r="V301"/>
      <c r="W301"/>
      <c r="X301"/>
      <c r="Y301" s="2"/>
    </row>
    <row r="302" spans="2:28">
      <c r="B302" s="20"/>
      <c r="C302" s="24" t="s">
        <v>310</v>
      </c>
      <c r="D302" s="21"/>
      <c r="E302" s="21"/>
      <c r="F302" s="21"/>
      <c r="G302" s="24" t="s">
        <v>311</v>
      </c>
      <c r="H302" s="21"/>
      <c r="I302" s="21"/>
      <c r="J302" s="21"/>
      <c r="K302" s="21"/>
      <c r="L302" s="21"/>
      <c r="M302" s="21"/>
      <c r="N302" s="21"/>
      <c r="O302" s="21"/>
      <c r="P302" s="22"/>
      <c r="Q302"/>
      <c r="R302"/>
      <c r="S302"/>
      <c r="T302"/>
      <c r="U302"/>
      <c r="V302"/>
      <c r="W302"/>
      <c r="X302"/>
      <c r="Y302" s="2"/>
    </row>
    <row r="303" spans="2:28">
      <c r="B303" s="20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2"/>
      <c r="Q303"/>
      <c r="R303"/>
      <c r="S303"/>
      <c r="T303"/>
      <c r="U303"/>
      <c r="V303"/>
      <c r="W303"/>
      <c r="X303"/>
      <c r="Y303" s="2"/>
    </row>
    <row r="304" spans="2:28">
      <c r="B304" s="20"/>
      <c r="C304" s="207" t="s">
        <v>102</v>
      </c>
      <c r="D304" s="168" t="s">
        <v>136</v>
      </c>
      <c r="E304" s="21"/>
      <c r="F304" s="21"/>
      <c r="G304" s="207" t="s">
        <v>102</v>
      </c>
      <c r="H304" s="168" t="s">
        <v>191</v>
      </c>
      <c r="I304" s="21"/>
      <c r="J304" s="21"/>
      <c r="K304" s="21"/>
      <c r="L304" s="21"/>
      <c r="M304" s="21"/>
      <c r="N304" s="21"/>
      <c r="O304" s="21"/>
      <c r="P304" s="22"/>
      <c r="Q304"/>
      <c r="R304"/>
      <c r="S304"/>
      <c r="T304"/>
      <c r="U304"/>
      <c r="V304"/>
      <c r="W304"/>
      <c r="X304"/>
      <c r="Y304" s="2"/>
    </row>
    <row r="305" spans="2:25">
      <c r="B305" s="20"/>
      <c r="C305" s="217" t="s">
        <v>210</v>
      </c>
      <c r="D305" s="28"/>
      <c r="E305" s="21"/>
      <c r="F305" s="21"/>
      <c r="G305" s="217" t="s">
        <v>210</v>
      </c>
      <c r="H305" s="312"/>
      <c r="I305" s="21"/>
      <c r="J305" s="21"/>
      <c r="K305" s="21"/>
      <c r="L305" s="21"/>
      <c r="M305" s="21"/>
      <c r="N305" s="21"/>
      <c r="O305" s="21"/>
      <c r="P305" s="22"/>
      <c r="Q305"/>
      <c r="R305"/>
      <c r="S305"/>
      <c r="T305"/>
      <c r="U305"/>
      <c r="V305"/>
      <c r="W305"/>
      <c r="X305"/>
      <c r="Y305" s="2"/>
    </row>
    <row r="306" spans="2:25">
      <c r="B306" s="20"/>
      <c r="C306" s="2"/>
      <c r="D306" s="2"/>
      <c r="E306" s="2"/>
      <c r="F306" s="2"/>
      <c r="G306" s="2"/>
      <c r="H306" s="21"/>
      <c r="I306" s="21"/>
      <c r="J306" s="21"/>
      <c r="K306" s="21"/>
      <c r="L306" s="21"/>
      <c r="M306" s="21"/>
      <c r="N306" s="21"/>
      <c r="O306" s="21"/>
      <c r="P306" s="22"/>
      <c r="Q306"/>
      <c r="R306"/>
      <c r="S306"/>
      <c r="T306"/>
      <c r="U306"/>
      <c r="V306"/>
      <c r="W306"/>
      <c r="X306"/>
      <c r="Y306" s="2"/>
    </row>
    <row r="307" spans="2:25">
      <c r="B307" s="20"/>
      <c r="C307" s="56" t="s">
        <v>220</v>
      </c>
      <c r="D307" s="21"/>
      <c r="E307" s="21"/>
      <c r="F307" s="21"/>
      <c r="G307" s="56" t="s">
        <v>221</v>
      </c>
      <c r="H307" s="21"/>
      <c r="I307" s="21"/>
      <c r="J307" s="21"/>
      <c r="K307" s="21"/>
      <c r="L307" s="21"/>
      <c r="M307" s="21"/>
      <c r="N307" s="21"/>
      <c r="O307" s="21"/>
      <c r="P307" s="22"/>
      <c r="Q307"/>
      <c r="R307"/>
      <c r="S307"/>
      <c r="T307"/>
      <c r="U307"/>
      <c r="V307"/>
      <c r="W307"/>
      <c r="X307"/>
      <c r="Y307" s="2"/>
    </row>
    <row r="308" spans="2:25">
      <c r="B308" s="20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2"/>
      <c r="Q308"/>
      <c r="R308"/>
      <c r="S308"/>
      <c r="T308"/>
      <c r="U308"/>
      <c r="V308"/>
      <c r="W308"/>
      <c r="X308"/>
      <c r="Y308" s="2"/>
    </row>
    <row r="309" spans="2:25">
      <c r="B309" s="2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21"/>
      <c r="O309" s="21"/>
      <c r="P309" s="22"/>
      <c r="Q309"/>
      <c r="R309"/>
      <c r="S309"/>
      <c r="T309"/>
      <c r="U309"/>
      <c r="V309"/>
      <c r="W309"/>
      <c r="X309"/>
    </row>
    <row r="310" spans="2:25" ht="23.25">
      <c r="B310" s="64" t="s">
        <v>141</v>
      </c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65"/>
      <c r="Q310"/>
      <c r="R310"/>
      <c r="S310"/>
      <c r="T310"/>
      <c r="U310"/>
      <c r="V310"/>
      <c r="W310"/>
      <c r="X310"/>
      <c r="Y310" s="2"/>
    </row>
    <row r="311" spans="2:25">
      <c r="B311" s="20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2"/>
      <c r="Q311"/>
      <c r="R311"/>
      <c r="S311"/>
      <c r="T311"/>
      <c r="U311"/>
      <c r="V311"/>
      <c r="W311"/>
      <c r="X311"/>
      <c r="Y311" s="2"/>
    </row>
    <row r="312" spans="2:25" ht="24" thickBot="1">
      <c r="B312" s="139"/>
      <c r="C312" s="136" t="s">
        <v>1</v>
      </c>
      <c r="D312" s="137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40"/>
      <c r="Q312"/>
      <c r="R312"/>
      <c r="S312"/>
      <c r="T312"/>
      <c r="U312"/>
      <c r="V312"/>
      <c r="W312"/>
      <c r="X312"/>
      <c r="Y312" s="2"/>
    </row>
    <row r="313" spans="2:25">
      <c r="B313" s="74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138"/>
      <c r="Q313"/>
      <c r="R313"/>
      <c r="S313"/>
      <c r="T313"/>
      <c r="U313"/>
      <c r="V313"/>
      <c r="W313"/>
      <c r="X313"/>
      <c r="Y313" s="2"/>
    </row>
    <row r="314" spans="2:25">
      <c r="B314" s="74"/>
      <c r="C314" s="130" t="s">
        <v>192</v>
      </c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138"/>
      <c r="Q314"/>
      <c r="R314"/>
      <c r="S314"/>
      <c r="T314"/>
      <c r="U314"/>
      <c r="V314"/>
      <c r="W314"/>
      <c r="X314"/>
      <c r="Y314" s="2"/>
    </row>
    <row r="315" spans="2:25">
      <c r="B315" s="74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138"/>
      <c r="Q315"/>
      <c r="R315"/>
      <c r="S315"/>
      <c r="T315"/>
      <c r="U315"/>
      <c r="V315"/>
      <c r="W315"/>
      <c r="X315"/>
      <c r="Y315" s="2"/>
    </row>
    <row r="316" spans="2:25">
      <c r="B316" s="74"/>
      <c r="C316" s="69" t="s">
        <v>193</v>
      </c>
      <c r="D316" s="69"/>
      <c r="E316" s="69"/>
      <c r="F316" s="69"/>
      <c r="G316" s="69" t="s">
        <v>152</v>
      </c>
      <c r="H316" s="69"/>
      <c r="I316" s="69"/>
      <c r="J316" s="69"/>
      <c r="K316" s="69" t="s">
        <v>194</v>
      </c>
      <c r="L316" s="69"/>
      <c r="M316" s="69"/>
      <c r="N316" s="69"/>
      <c r="O316" s="69"/>
      <c r="P316" s="138"/>
      <c r="Q316"/>
      <c r="R316"/>
      <c r="S316"/>
      <c r="T316"/>
      <c r="U316"/>
      <c r="V316"/>
      <c r="W316"/>
      <c r="X316"/>
      <c r="Y316" s="2"/>
    </row>
    <row r="317" spans="2:25">
      <c r="B317" s="74"/>
      <c r="C317" s="226" t="s">
        <v>363</v>
      </c>
      <c r="D317" s="227"/>
      <c r="E317" s="55">
        <v>0.2</v>
      </c>
      <c r="F317" s="69"/>
      <c r="G317" s="226" t="s">
        <v>151</v>
      </c>
      <c r="H317" s="227"/>
      <c r="I317" s="54">
        <v>4</v>
      </c>
      <c r="J317" s="69"/>
      <c r="K317" s="226" t="s">
        <v>364</v>
      </c>
      <c r="L317" s="227"/>
      <c r="M317" s="55">
        <v>0.01</v>
      </c>
      <c r="N317" s="69"/>
      <c r="O317" s="69"/>
      <c r="P317" s="138"/>
      <c r="Q317"/>
      <c r="R317"/>
      <c r="S317"/>
      <c r="T317"/>
      <c r="U317"/>
      <c r="V317"/>
      <c r="W317"/>
      <c r="X317"/>
      <c r="Y317" s="2"/>
    </row>
    <row r="318" spans="2:25">
      <c r="B318" s="74"/>
      <c r="C318" s="69"/>
      <c r="D318" s="69"/>
      <c r="E318" s="69"/>
      <c r="F318" s="69"/>
      <c r="G318" s="226" t="s">
        <v>364</v>
      </c>
      <c r="H318" s="227"/>
      <c r="I318" s="55">
        <v>0.01</v>
      </c>
      <c r="J318" s="69"/>
      <c r="K318" s="226" t="s">
        <v>363</v>
      </c>
      <c r="L318" s="227"/>
      <c r="M318" s="55">
        <v>7.0000000000000007E-2</v>
      </c>
      <c r="N318" s="69"/>
      <c r="O318" s="69"/>
      <c r="P318" s="138"/>
      <c r="Q318"/>
      <c r="R318"/>
      <c r="S318"/>
      <c r="T318"/>
      <c r="U318"/>
      <c r="V318"/>
      <c r="W318"/>
      <c r="X318"/>
      <c r="Y318" s="2"/>
    </row>
    <row r="319" spans="2:25">
      <c r="B319" s="74"/>
      <c r="C319" s="69" t="s">
        <v>222</v>
      </c>
      <c r="D319" s="69"/>
      <c r="E319" s="69"/>
      <c r="F319" s="69"/>
      <c r="G319" s="226" t="s">
        <v>363</v>
      </c>
      <c r="H319" s="227"/>
      <c r="I319" s="55">
        <v>0.05</v>
      </c>
      <c r="J319" s="69"/>
      <c r="K319" s="226" t="s">
        <v>366</v>
      </c>
      <c r="L319" s="227"/>
      <c r="M319" s="55">
        <v>0.01</v>
      </c>
      <c r="N319" s="69"/>
      <c r="O319" s="69"/>
      <c r="P319" s="138"/>
      <c r="Q319"/>
      <c r="R319"/>
      <c r="S319"/>
      <c r="T319"/>
      <c r="U319"/>
      <c r="V319"/>
      <c r="W319"/>
      <c r="X319"/>
      <c r="Y319" s="2"/>
    </row>
    <row r="320" spans="2:25">
      <c r="B320" s="74"/>
      <c r="C320" s="226" t="s">
        <v>363</v>
      </c>
      <c r="D320" s="227"/>
      <c r="E320" s="154">
        <v>0.03</v>
      </c>
      <c r="F320" s="69"/>
      <c r="G320" s="226" t="s">
        <v>365</v>
      </c>
      <c r="H320" s="227"/>
      <c r="I320" s="55">
        <v>0.01</v>
      </c>
      <c r="J320" s="69"/>
      <c r="K320" s="69"/>
      <c r="L320" s="69"/>
      <c r="M320" s="69"/>
      <c r="N320" s="69"/>
      <c r="O320" s="69"/>
      <c r="P320" s="138"/>
      <c r="Q320"/>
      <c r="R320"/>
      <c r="S320"/>
      <c r="T320"/>
      <c r="U320"/>
      <c r="V320"/>
      <c r="W320"/>
      <c r="X320"/>
      <c r="Y320" s="2"/>
    </row>
    <row r="321" spans="2:25">
      <c r="B321" s="74"/>
      <c r="C321" s="69"/>
      <c r="D321" s="69"/>
      <c r="E321" s="69"/>
      <c r="F321" s="69"/>
      <c r="G321" s="69"/>
      <c r="H321" s="69"/>
      <c r="I321" s="69"/>
      <c r="J321" s="69"/>
      <c r="K321" s="69" t="s">
        <v>345</v>
      </c>
      <c r="L321" s="69"/>
      <c r="M321" s="69"/>
      <c r="N321" s="69"/>
      <c r="O321" s="69"/>
      <c r="P321" s="138"/>
      <c r="Q321"/>
      <c r="R321"/>
      <c r="S321"/>
      <c r="T321"/>
      <c r="U321"/>
      <c r="V321"/>
      <c r="W321"/>
      <c r="X321"/>
      <c r="Y321" s="2"/>
    </row>
    <row r="322" spans="2:25">
      <c r="B322" s="74"/>
      <c r="C322" s="69"/>
      <c r="D322" s="69"/>
      <c r="E322" s="69"/>
      <c r="F322" s="69"/>
      <c r="G322" s="69"/>
      <c r="H322" s="69"/>
      <c r="I322" s="69"/>
      <c r="J322" s="69"/>
      <c r="K322" s="226" t="s">
        <v>363</v>
      </c>
      <c r="L322" s="227"/>
      <c r="M322" s="55">
        <v>0.01</v>
      </c>
      <c r="N322" s="69"/>
      <c r="O322" s="69"/>
      <c r="P322" s="138"/>
      <c r="Q322"/>
      <c r="R322"/>
      <c r="S322"/>
      <c r="T322"/>
      <c r="U322"/>
      <c r="V322"/>
      <c r="W322"/>
      <c r="X322"/>
      <c r="Y322" s="2"/>
    </row>
    <row r="323" spans="2:25">
      <c r="B323" s="74"/>
      <c r="C323" s="69"/>
      <c r="D323" s="69"/>
      <c r="E323" s="69"/>
      <c r="F323" s="69"/>
      <c r="G323" s="69"/>
      <c r="H323" s="69"/>
      <c r="I323" s="69"/>
      <c r="J323" s="69"/>
      <c r="K323" s="226" t="s">
        <v>365</v>
      </c>
      <c r="L323" s="227"/>
      <c r="M323" s="55">
        <v>0.01</v>
      </c>
      <c r="N323" s="69"/>
      <c r="O323" s="69"/>
      <c r="P323" s="138"/>
      <c r="Q323"/>
      <c r="R323"/>
      <c r="S323"/>
      <c r="T323"/>
      <c r="U323"/>
      <c r="V323"/>
      <c r="W323"/>
      <c r="X323"/>
      <c r="Y323" s="2"/>
    </row>
    <row r="324" spans="2:25">
      <c r="B324" s="74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138"/>
      <c r="Q324"/>
      <c r="R324"/>
      <c r="S324"/>
      <c r="T324"/>
      <c r="U324"/>
      <c r="V324"/>
      <c r="W324"/>
      <c r="X324"/>
      <c r="Y324" s="2"/>
    </row>
    <row r="325" spans="2:25">
      <c r="B325" s="20"/>
      <c r="C325" s="21"/>
      <c r="D325" s="21"/>
      <c r="E325" s="21"/>
      <c r="F325" s="21"/>
      <c r="G325" s="2"/>
      <c r="H325" s="2"/>
      <c r="I325" s="2"/>
      <c r="J325" s="21"/>
      <c r="K325" s="21"/>
      <c r="L325" s="21"/>
      <c r="M325" s="21"/>
      <c r="N325" s="21"/>
      <c r="O325" s="21"/>
      <c r="P325" s="22"/>
      <c r="Q325"/>
      <c r="R325"/>
      <c r="S325"/>
      <c r="T325"/>
      <c r="U325"/>
      <c r="V325"/>
      <c r="W325"/>
      <c r="X325"/>
      <c r="Y325" s="2"/>
    </row>
    <row r="326" spans="2:25">
      <c r="B326" s="20"/>
      <c r="C326" s="24" t="s">
        <v>350</v>
      </c>
      <c r="D326" s="21"/>
      <c r="E326" s="21"/>
      <c r="F326" s="21"/>
      <c r="G326" s="2"/>
      <c r="H326" s="2"/>
      <c r="I326" s="2"/>
      <c r="J326" s="21"/>
      <c r="K326" s="21"/>
      <c r="L326" s="21"/>
      <c r="M326" s="21"/>
      <c r="N326" s="21"/>
      <c r="O326" s="21"/>
      <c r="P326" s="22"/>
      <c r="Q326"/>
      <c r="R326"/>
      <c r="S326"/>
      <c r="T326"/>
      <c r="U326"/>
      <c r="V326"/>
      <c r="W326"/>
      <c r="X326"/>
      <c r="Y326" s="2"/>
    </row>
    <row r="327" spans="2:25">
      <c r="B327" s="20"/>
      <c r="C327" s="21"/>
      <c r="D327" s="21"/>
      <c r="E327" s="21"/>
      <c r="F327" s="21"/>
      <c r="G327" s="2"/>
      <c r="H327" s="2"/>
      <c r="I327" s="2"/>
      <c r="J327" s="21"/>
      <c r="K327" s="21"/>
      <c r="L327" s="21"/>
      <c r="M327" s="21"/>
      <c r="N327" s="21"/>
      <c r="O327" s="21"/>
      <c r="P327" s="22"/>
      <c r="Q327"/>
      <c r="R327"/>
      <c r="S327"/>
      <c r="T327"/>
      <c r="U327"/>
      <c r="V327"/>
      <c r="W327"/>
      <c r="X327"/>
      <c r="Y327" s="2"/>
    </row>
    <row r="328" spans="2:25">
      <c r="B328" s="20"/>
      <c r="C328" s="202" t="s">
        <v>352</v>
      </c>
      <c r="D328" s="233"/>
      <c r="E328" s="207" t="s">
        <v>135</v>
      </c>
      <c r="F328" s="207" t="s">
        <v>355</v>
      </c>
      <c r="G328" s="2"/>
      <c r="H328" s="2"/>
      <c r="I328" s="2"/>
      <c r="J328" s="21"/>
      <c r="K328" s="21"/>
      <c r="L328" s="21"/>
      <c r="M328" s="21"/>
      <c r="N328" s="21"/>
      <c r="O328" s="21"/>
      <c r="P328" s="22"/>
      <c r="Q328"/>
      <c r="R328"/>
      <c r="S328"/>
      <c r="T328"/>
      <c r="U328"/>
      <c r="V328"/>
      <c r="W328"/>
      <c r="X328"/>
      <c r="Y328" s="2"/>
    </row>
    <row r="329" spans="2:25">
      <c r="B329" s="20"/>
      <c r="C329" s="226" t="s">
        <v>351</v>
      </c>
      <c r="D329" s="227"/>
      <c r="E329" s="329">
        <v>0.8</v>
      </c>
      <c r="F329" s="339" t="e">
        <f ca="1">(H67+G137+F213+G213)*E329</f>
        <v>#NAME?</v>
      </c>
      <c r="G329" s="2"/>
      <c r="H329" s="2"/>
      <c r="I329" s="2"/>
      <c r="J329" s="21"/>
      <c r="K329" s="21"/>
      <c r="L329" s="21"/>
      <c r="M329" s="21"/>
      <c r="N329" s="21"/>
      <c r="O329" s="21"/>
      <c r="P329" s="22"/>
      <c r="Q329"/>
      <c r="R329"/>
      <c r="S329"/>
      <c r="T329"/>
      <c r="U329"/>
      <c r="V329"/>
      <c r="W329"/>
      <c r="X329"/>
      <c r="Y329" s="2"/>
    </row>
    <row r="330" spans="2:25">
      <c r="B330" s="20"/>
      <c r="C330" s="226" t="s">
        <v>353</v>
      </c>
      <c r="D330" s="227"/>
      <c r="E330" s="329">
        <v>0.5</v>
      </c>
      <c r="F330" s="339">
        <f>L174*E330</f>
        <v>0</v>
      </c>
      <c r="G330" s="2"/>
      <c r="H330" s="2"/>
      <c r="I330" s="2"/>
      <c r="J330" s="21"/>
      <c r="K330" s="21"/>
      <c r="L330" s="21"/>
      <c r="M330" s="21"/>
      <c r="N330" s="21"/>
      <c r="O330" s="21"/>
      <c r="P330" s="22"/>
      <c r="Q330"/>
      <c r="R330"/>
      <c r="S330"/>
      <c r="T330"/>
      <c r="U330"/>
      <c r="V330"/>
      <c r="W330"/>
      <c r="X330"/>
      <c r="Y330" s="2"/>
    </row>
    <row r="331" spans="2:25">
      <c r="B331" s="20"/>
      <c r="C331" s="226" t="s">
        <v>354</v>
      </c>
      <c r="D331" s="227"/>
      <c r="E331" s="329">
        <v>0.33</v>
      </c>
      <c r="F331" s="339" t="e">
        <f ca="1">((14000000+(((M257+M272+M287)/6)*50000))+(N257+N272+N287))*E331</f>
        <v>#NAME?</v>
      </c>
      <c r="G331" s="2"/>
      <c r="H331" s="2"/>
      <c r="I331" s="2"/>
      <c r="J331" s="21"/>
      <c r="K331" s="21"/>
      <c r="L331" s="21"/>
      <c r="M331" s="21"/>
      <c r="N331" s="21"/>
      <c r="O331" s="21"/>
      <c r="P331" s="22"/>
      <c r="Q331"/>
      <c r="R331"/>
      <c r="S331"/>
      <c r="T331"/>
      <c r="U331"/>
      <c r="V331"/>
      <c r="W331"/>
      <c r="X331"/>
      <c r="Y331" s="2"/>
    </row>
    <row r="332" spans="2:25">
      <c r="B332" s="20"/>
      <c r="C332" s="226" t="s">
        <v>288</v>
      </c>
      <c r="D332" s="227"/>
      <c r="E332" s="329">
        <v>0.15</v>
      </c>
      <c r="F332" s="164" t="e">
        <f ca="1">((M257*(K257*(1+L257)))+(M272*(K272*(1+L272)))+(M287*(K287*(1+L287))))*E332</f>
        <v>#NAME?</v>
      </c>
      <c r="G332" s="2"/>
      <c r="H332" s="2"/>
      <c r="I332" s="2"/>
      <c r="J332" s="21"/>
      <c r="K332" s="21"/>
      <c r="L332" s="21"/>
      <c r="M332" s="21"/>
      <c r="N332" s="21"/>
      <c r="O332" s="21"/>
      <c r="P332" s="22"/>
      <c r="Q332"/>
      <c r="R332"/>
      <c r="S332"/>
      <c r="T332"/>
      <c r="U332"/>
      <c r="V332"/>
      <c r="W332"/>
      <c r="X332"/>
      <c r="Y332" s="2"/>
    </row>
    <row r="333" spans="2:25">
      <c r="B333" s="20"/>
      <c r="C333" s="226" t="s">
        <v>24</v>
      </c>
      <c r="D333" s="227"/>
      <c r="E333" s="329">
        <v>0.05</v>
      </c>
      <c r="F333" s="164" t="e">
        <f ca="1">((M269*L236)+(M284*L237)+(M299*L238))*E333</f>
        <v>#NAME?</v>
      </c>
      <c r="G333" s="2"/>
      <c r="H333" s="2"/>
      <c r="I333" s="2"/>
      <c r="J333" s="21"/>
      <c r="K333" s="21"/>
      <c r="L333" s="21"/>
      <c r="M333" s="21"/>
      <c r="N333" s="21"/>
      <c r="O333" s="21"/>
      <c r="P333" s="22"/>
      <c r="Q333"/>
      <c r="R333"/>
      <c r="S333"/>
      <c r="T333"/>
      <c r="U333"/>
      <c r="V333"/>
      <c r="W333"/>
      <c r="X333"/>
      <c r="Y333" s="2"/>
    </row>
    <row r="334" spans="2:25">
      <c r="B334" s="20"/>
      <c r="C334" s="21"/>
      <c r="D334" s="330"/>
      <c r="E334" s="211" t="s">
        <v>356</v>
      </c>
      <c r="F334" s="164" t="e">
        <f ca="1">SUM(F329:F333)</f>
        <v>#NAME?</v>
      </c>
      <c r="G334" s="2"/>
      <c r="H334" s="2"/>
      <c r="I334" s="2"/>
      <c r="J334" s="21"/>
      <c r="K334" s="21"/>
      <c r="L334" s="21"/>
      <c r="M334" s="21"/>
      <c r="N334" s="21"/>
      <c r="O334" s="21"/>
      <c r="P334" s="22"/>
      <c r="Q334"/>
      <c r="R334"/>
      <c r="S334"/>
      <c r="T334"/>
      <c r="U334"/>
      <c r="V334"/>
      <c r="W334"/>
      <c r="X334"/>
      <c r="Y334" s="2"/>
    </row>
    <row r="335" spans="2:25">
      <c r="B335" s="20"/>
      <c r="C335" s="21"/>
      <c r="D335" s="330"/>
      <c r="E335" s="211" t="s">
        <v>357</v>
      </c>
      <c r="F335" s="164" t="e">
        <f ca="1">_xlfn.IFS(('Año 2'!O123+'Año 2'!O124+'Año 2'!O125-'Año 2'!O144-'Año 2'!O145-'Año 2'!O146-'Año 3'!F334)&gt;0,0,('Año 2'!O123+'Año 2'!O124+'Año 2'!O125-'Año 2'!O144-'Año 2'!O145-'Año 2'!O146-'Año 3'!F334)=0,0,('Año 2'!O123+'Año 2'!O124+'Año 2'!O125-'Año 2'!O144-'Año 2'!O145-'Año 2'!O146-'Año 3'!F334)&lt;0,-('Año 2'!O123+'Año 2'!O124+'Año 2'!O125-'Año 2'!O144-'Año 2'!O145-'Año 2'!O146-'Año 3'!F334))</f>
        <v>#NAME?</v>
      </c>
      <c r="G335" s="2"/>
      <c r="H335" s="2"/>
      <c r="I335" s="2"/>
      <c r="J335" s="21"/>
      <c r="K335" s="21"/>
      <c r="L335" s="21"/>
      <c r="M335" s="21"/>
      <c r="N335" s="21"/>
      <c r="O335" s="21"/>
      <c r="P335" s="22"/>
      <c r="Q335"/>
      <c r="R335"/>
      <c r="S335"/>
      <c r="T335"/>
      <c r="U335"/>
      <c r="V335"/>
      <c r="W335"/>
      <c r="X335"/>
      <c r="Y335" s="2"/>
    </row>
    <row r="336" spans="2:25">
      <c r="B336" s="20"/>
      <c r="C336" s="21"/>
      <c r="D336" s="21"/>
      <c r="E336" s="21"/>
      <c r="F336" s="21"/>
      <c r="G336" s="2"/>
      <c r="H336" s="2"/>
      <c r="I336" s="2"/>
      <c r="J336" s="21"/>
      <c r="K336" s="21"/>
      <c r="L336" s="21"/>
      <c r="M336" s="21"/>
      <c r="N336" s="21"/>
      <c r="O336" s="21"/>
      <c r="P336" s="22"/>
      <c r="Q336"/>
      <c r="R336"/>
      <c r="S336"/>
      <c r="T336"/>
      <c r="U336"/>
      <c r="V336"/>
      <c r="W336"/>
      <c r="X336"/>
      <c r="Y336" s="2"/>
    </row>
    <row r="337" spans="2:25">
      <c r="B337" s="20"/>
      <c r="C337" s="21"/>
      <c r="D337" s="21"/>
      <c r="E337" s="21"/>
      <c r="F337" s="21"/>
      <c r="G337" s="2"/>
      <c r="H337" s="2"/>
      <c r="I337" s="2"/>
      <c r="J337" s="21"/>
      <c r="K337" s="21"/>
      <c r="L337" s="21"/>
      <c r="M337" s="21"/>
      <c r="N337" s="21"/>
      <c r="O337" s="21"/>
      <c r="P337" s="22"/>
      <c r="Q337"/>
      <c r="R337"/>
      <c r="S337"/>
      <c r="T337"/>
      <c r="U337"/>
      <c r="V337"/>
      <c r="W337"/>
      <c r="X337"/>
      <c r="Y337" s="2"/>
    </row>
    <row r="338" spans="2:25">
      <c r="B338" s="20"/>
      <c r="C338" s="24" t="s">
        <v>149</v>
      </c>
      <c r="D338" s="2"/>
      <c r="E338" s="21"/>
      <c r="F338" s="21"/>
      <c r="G338" s="2"/>
      <c r="H338" s="2"/>
      <c r="I338" s="24" t="s">
        <v>150</v>
      </c>
      <c r="J338" s="2"/>
      <c r="K338" s="21"/>
      <c r="L338" s="21"/>
      <c r="M338" s="2"/>
      <c r="N338" s="2"/>
      <c r="O338" s="21"/>
      <c r="P338" s="22"/>
      <c r="Q338"/>
      <c r="R338"/>
      <c r="S338"/>
      <c r="T338"/>
      <c r="U338"/>
      <c r="V338"/>
      <c r="W338"/>
      <c r="X338"/>
      <c r="Y338" s="2"/>
    </row>
    <row r="339" spans="2:25">
      <c r="B339" s="20"/>
      <c r="C339" s="2"/>
      <c r="D339" s="2"/>
      <c r="E339" s="21"/>
      <c r="F339" s="21"/>
      <c r="G339" s="2"/>
      <c r="H339" s="2"/>
      <c r="I339" s="2"/>
      <c r="J339" s="2"/>
      <c r="K339" s="21"/>
      <c r="L339" s="21"/>
      <c r="M339" s="2"/>
      <c r="N339" s="2"/>
      <c r="O339" s="21"/>
      <c r="P339" s="22"/>
      <c r="Q339"/>
      <c r="R339"/>
      <c r="S339"/>
      <c r="T339"/>
      <c r="U339"/>
      <c r="V339"/>
      <c r="W339"/>
      <c r="X339"/>
      <c r="Y339" s="2"/>
    </row>
    <row r="340" spans="2:25">
      <c r="B340" s="20"/>
      <c r="C340" s="207" t="s">
        <v>3</v>
      </c>
      <c r="D340" s="168" t="s">
        <v>205</v>
      </c>
      <c r="E340" s="168" t="s">
        <v>204</v>
      </c>
      <c r="F340" s="21"/>
      <c r="G340" s="2"/>
      <c r="H340" s="2"/>
      <c r="I340" s="229" t="s">
        <v>22</v>
      </c>
      <c r="J340" s="230"/>
      <c r="K340" s="231"/>
      <c r="L340" s="313"/>
      <c r="M340" s="2"/>
      <c r="N340" s="2"/>
      <c r="O340" s="21"/>
      <c r="P340" s="22"/>
      <c r="Q340"/>
      <c r="R340"/>
      <c r="S340"/>
      <c r="T340"/>
      <c r="U340"/>
      <c r="V340"/>
      <c r="W340"/>
      <c r="X340"/>
      <c r="Y340" s="2"/>
    </row>
    <row r="341" spans="2:25">
      <c r="B341" s="20"/>
      <c r="C341" s="228" t="s">
        <v>8</v>
      </c>
      <c r="D341" s="28"/>
      <c r="E341" s="339">
        <f>IF(D341&gt;0,(M269*L236)*(D341/360),0)</f>
        <v>0</v>
      </c>
      <c r="F341" s="21"/>
      <c r="G341" s="2"/>
      <c r="H341" s="2"/>
      <c r="I341" s="229" t="s">
        <v>142</v>
      </c>
      <c r="J341" s="230"/>
      <c r="K341" s="231"/>
      <c r="L341" s="78"/>
      <c r="M341" s="2"/>
      <c r="N341" s="2"/>
      <c r="O341" s="21"/>
      <c r="P341" s="22"/>
      <c r="Q341"/>
      <c r="R341"/>
      <c r="S341"/>
      <c r="T341"/>
      <c r="U341"/>
      <c r="V341"/>
      <c r="W341"/>
      <c r="X341"/>
      <c r="Y341" s="2"/>
    </row>
    <row r="342" spans="2:25">
      <c r="B342" s="20"/>
      <c r="C342" s="228" t="s">
        <v>9</v>
      </c>
      <c r="D342" s="28"/>
      <c r="E342" s="339">
        <f>IF(D342&gt;0,(M284*L237)*(D342/360),0)</f>
        <v>0</v>
      </c>
      <c r="F342" s="21"/>
      <c r="G342" s="2"/>
      <c r="H342" s="2"/>
      <c r="I342" s="229" t="s">
        <v>143</v>
      </c>
      <c r="J342" s="230"/>
      <c r="K342" s="231"/>
      <c r="L342" s="78"/>
      <c r="M342" s="2"/>
      <c r="N342" s="2"/>
      <c r="O342" s="21"/>
      <c r="P342" s="22"/>
      <c r="Q342"/>
      <c r="R342"/>
      <c r="S342"/>
      <c r="T342"/>
      <c r="U342"/>
      <c r="V342"/>
      <c r="W342"/>
      <c r="X342"/>
      <c r="Y342" s="2"/>
    </row>
    <row r="343" spans="2:25">
      <c r="B343" s="20"/>
      <c r="C343" s="228" t="s">
        <v>156</v>
      </c>
      <c r="D343" s="28"/>
      <c r="E343" s="339">
        <f>IF(D343&gt;0,(M299*L238)*(D343/360),0)</f>
        <v>0</v>
      </c>
      <c r="F343" s="21"/>
      <c r="G343" s="2"/>
      <c r="H343" s="2"/>
      <c r="I343" s="229" t="s">
        <v>144</v>
      </c>
      <c r="J343" s="230"/>
      <c r="K343" s="231"/>
      <c r="L343" s="78"/>
      <c r="M343" s="2"/>
      <c r="N343" s="2"/>
      <c r="O343" s="21"/>
      <c r="P343" s="22"/>
      <c r="Q343"/>
      <c r="R343"/>
      <c r="S343"/>
      <c r="T343"/>
      <c r="U343"/>
      <c r="V343"/>
      <c r="W343"/>
      <c r="X343"/>
      <c r="Y343" s="2"/>
    </row>
    <row r="344" spans="2:25">
      <c r="B344" s="20"/>
      <c r="C344" s="2"/>
      <c r="D344" s="169" t="s">
        <v>155</v>
      </c>
      <c r="E344" s="164">
        <f>SUM(E341:E343)</f>
        <v>0</v>
      </c>
      <c r="F344" s="21"/>
      <c r="G344" s="21"/>
      <c r="H344" s="21"/>
      <c r="I344" s="21"/>
      <c r="J344" s="21"/>
      <c r="K344" s="2"/>
      <c r="L344" s="2"/>
      <c r="M344" s="2"/>
      <c r="N344" s="2"/>
      <c r="O344" s="21"/>
      <c r="P344" s="22"/>
      <c r="Q344"/>
      <c r="R344"/>
      <c r="S344"/>
      <c r="T344"/>
      <c r="U344"/>
      <c r="V344"/>
      <c r="W344"/>
      <c r="X344"/>
      <c r="Y344" s="2"/>
    </row>
    <row r="345" spans="2:25">
      <c r="B345" s="20"/>
      <c r="C345" s="2"/>
      <c r="D345" s="2"/>
      <c r="E345" s="2"/>
      <c r="F345" s="21"/>
      <c r="G345" s="21"/>
      <c r="H345" s="21"/>
      <c r="I345" s="21"/>
      <c r="J345" s="21"/>
      <c r="K345" s="2"/>
      <c r="L345" s="2"/>
      <c r="M345" s="2"/>
      <c r="N345" s="2"/>
      <c r="O345" s="21"/>
      <c r="P345" s="22"/>
      <c r="Q345"/>
      <c r="R345"/>
      <c r="S345"/>
      <c r="T345"/>
      <c r="U345"/>
      <c r="V345"/>
      <c r="W345"/>
      <c r="X345"/>
      <c r="Y345" s="2"/>
    </row>
    <row r="346" spans="2:25">
      <c r="B346" s="20"/>
      <c r="C346" s="24" t="s">
        <v>202</v>
      </c>
      <c r="D346" s="2"/>
      <c r="E346" s="21"/>
      <c r="F346" s="21"/>
      <c r="G346" s="21"/>
      <c r="H346" s="21"/>
      <c r="I346" s="21"/>
      <c r="J346" s="21"/>
      <c r="K346" s="2"/>
      <c r="L346" s="2"/>
      <c r="M346" s="2"/>
      <c r="N346" s="2"/>
      <c r="O346" s="21"/>
      <c r="P346" s="22"/>
      <c r="Q346"/>
      <c r="R346"/>
      <c r="S346"/>
      <c r="T346"/>
      <c r="U346"/>
      <c r="V346"/>
      <c r="W346"/>
      <c r="X346"/>
      <c r="Y346" s="2"/>
    </row>
    <row r="347" spans="2:25">
      <c r="B347" s="20"/>
      <c r="C347" s="2"/>
      <c r="D347" s="2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2"/>
      <c r="Q347"/>
      <c r="R347"/>
      <c r="S347"/>
      <c r="T347"/>
      <c r="U347"/>
      <c r="V347"/>
      <c r="W347"/>
      <c r="X347"/>
      <c r="Y347" s="2"/>
    </row>
    <row r="348" spans="2:25">
      <c r="B348" s="20"/>
      <c r="C348" s="207" t="s">
        <v>3</v>
      </c>
      <c r="D348" s="168" t="s">
        <v>205</v>
      </c>
      <c r="E348" s="168" t="s">
        <v>332</v>
      </c>
      <c r="F348" s="169" t="s">
        <v>203</v>
      </c>
      <c r="G348" s="169" t="s">
        <v>11</v>
      </c>
      <c r="I348" s="21"/>
      <c r="J348" s="21"/>
      <c r="K348" s="21"/>
      <c r="L348" s="21"/>
      <c r="M348" s="21"/>
      <c r="N348" s="21"/>
      <c r="O348" s="21"/>
      <c r="P348" s="22"/>
      <c r="Q348"/>
      <c r="R348"/>
      <c r="S348"/>
      <c r="T348"/>
      <c r="U348"/>
      <c r="V348"/>
      <c r="W348"/>
      <c r="X348"/>
      <c r="Y348" s="2"/>
    </row>
    <row r="349" spans="2:25">
      <c r="B349" s="20"/>
      <c r="C349" s="228" t="s">
        <v>210</v>
      </c>
      <c r="D349" s="28"/>
      <c r="E349" s="29">
        <f>IF(D349&gt;0,G480/360*D349,0)</f>
        <v>0</v>
      </c>
      <c r="F349" s="58" t="s">
        <v>349</v>
      </c>
      <c r="G349" s="78"/>
      <c r="I349" s="21"/>
      <c r="J349" s="21"/>
      <c r="K349" s="21"/>
      <c r="L349" s="21"/>
      <c r="M349" s="21"/>
      <c r="N349" s="21"/>
      <c r="O349" s="21"/>
      <c r="P349" s="22"/>
      <c r="Q349"/>
      <c r="R349"/>
      <c r="S349"/>
      <c r="T349"/>
      <c r="U349"/>
      <c r="V349"/>
      <c r="W349"/>
      <c r="X349"/>
      <c r="Y349" s="2"/>
    </row>
    <row r="350" spans="2:25">
      <c r="B350" s="20"/>
      <c r="C350" s="60"/>
      <c r="D350" s="60"/>
      <c r="E350" s="60"/>
      <c r="F350" s="60"/>
      <c r="G350" s="21"/>
      <c r="H350" s="21"/>
      <c r="I350" s="21"/>
      <c r="J350" s="21"/>
      <c r="K350" s="21"/>
      <c r="L350" s="21"/>
      <c r="M350" s="21"/>
      <c r="N350" s="21"/>
      <c r="O350" s="21"/>
      <c r="P350" s="22"/>
      <c r="Q350"/>
      <c r="R350"/>
      <c r="S350"/>
      <c r="T350"/>
      <c r="U350"/>
      <c r="V350"/>
      <c r="W350"/>
      <c r="X350"/>
      <c r="Y350" s="2"/>
    </row>
    <row r="351" spans="2:25">
      <c r="B351" s="20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2"/>
      <c r="Q351"/>
      <c r="R351"/>
      <c r="S351"/>
      <c r="T351"/>
      <c r="U351"/>
      <c r="V351"/>
      <c r="W351"/>
      <c r="X351"/>
      <c r="Y351" s="2"/>
    </row>
    <row r="352" spans="2:25" ht="23.25">
      <c r="B352" s="64" t="s">
        <v>122</v>
      </c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65"/>
      <c r="Q352"/>
      <c r="R352"/>
      <c r="S352"/>
      <c r="T352"/>
      <c r="U352"/>
      <c r="V352"/>
      <c r="W352"/>
      <c r="X352"/>
    </row>
    <row r="353" spans="2:24">
      <c r="B353" s="20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2"/>
      <c r="Q353"/>
      <c r="R353"/>
      <c r="S353"/>
      <c r="T353"/>
      <c r="U353"/>
      <c r="V353"/>
      <c r="W353"/>
      <c r="X353"/>
    </row>
    <row r="354" spans="2:24" ht="24" thickBot="1">
      <c r="B354" s="139"/>
      <c r="C354" s="136" t="s">
        <v>1</v>
      </c>
      <c r="D354" s="137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40"/>
      <c r="Q354"/>
      <c r="R354"/>
      <c r="S354"/>
      <c r="T354"/>
      <c r="U354"/>
      <c r="V354"/>
      <c r="W354"/>
      <c r="X354"/>
    </row>
    <row r="355" spans="2:24">
      <c r="B355" s="74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138"/>
      <c r="Q355"/>
      <c r="R355"/>
      <c r="S355"/>
      <c r="T355"/>
      <c r="U355"/>
      <c r="V355"/>
      <c r="W355"/>
      <c r="X355"/>
    </row>
    <row r="356" spans="2:24">
      <c r="B356" s="74"/>
      <c r="C356" s="133" t="s">
        <v>145</v>
      </c>
      <c r="D356" s="69"/>
      <c r="E356" s="69"/>
      <c r="F356" s="69"/>
      <c r="G356" s="69"/>
      <c r="H356" s="69"/>
      <c r="I356" s="133" t="s">
        <v>183</v>
      </c>
      <c r="J356" s="69"/>
      <c r="K356" s="69"/>
      <c r="L356" s="69"/>
      <c r="M356" s="69"/>
      <c r="N356" s="69"/>
      <c r="O356" s="69"/>
      <c r="P356" s="138"/>
      <c r="Q356"/>
      <c r="R356"/>
      <c r="S356"/>
      <c r="T356"/>
      <c r="U356"/>
      <c r="V356"/>
      <c r="W356"/>
      <c r="X356"/>
    </row>
    <row r="357" spans="2:24">
      <c r="B357" s="74"/>
      <c r="C357" s="69"/>
      <c r="D357" s="69"/>
      <c r="E357" s="202"/>
      <c r="F357" s="232" t="s">
        <v>181</v>
      </c>
      <c r="G357" s="233"/>
      <c r="H357" s="69"/>
      <c r="I357" s="69"/>
      <c r="J357" s="69"/>
      <c r="K357" s="202"/>
      <c r="L357" s="232" t="s">
        <v>181</v>
      </c>
      <c r="M357" s="233"/>
      <c r="N357" s="69"/>
      <c r="O357" s="69"/>
      <c r="P357" s="138"/>
      <c r="Q357"/>
      <c r="R357"/>
      <c r="S357"/>
      <c r="T357"/>
      <c r="U357"/>
      <c r="V357"/>
      <c r="W357"/>
      <c r="X357"/>
    </row>
    <row r="358" spans="2:24">
      <c r="B358" s="74"/>
      <c r="C358" s="169" t="s">
        <v>102</v>
      </c>
      <c r="D358" s="169" t="s">
        <v>182</v>
      </c>
      <c r="E358" s="169" t="s">
        <v>8</v>
      </c>
      <c r="F358" s="169" t="s">
        <v>9</v>
      </c>
      <c r="G358" s="169" t="s">
        <v>156</v>
      </c>
      <c r="H358" s="69"/>
      <c r="I358" s="169" t="s">
        <v>102</v>
      </c>
      <c r="J358" s="169" t="s">
        <v>182</v>
      </c>
      <c r="K358" s="169" t="s">
        <v>8</v>
      </c>
      <c r="L358" s="169" t="s">
        <v>9</v>
      </c>
      <c r="M358" s="169" t="s">
        <v>156</v>
      </c>
      <c r="N358" s="69"/>
      <c r="O358" s="69"/>
      <c r="P358" s="138"/>
      <c r="Q358"/>
      <c r="R358"/>
      <c r="S358"/>
      <c r="T358"/>
      <c r="U358"/>
      <c r="V358"/>
      <c r="W358"/>
      <c r="X358"/>
    </row>
    <row r="359" spans="2:24">
      <c r="B359" s="74"/>
      <c r="C359" s="234"/>
      <c r="D359" s="175" t="s">
        <v>227</v>
      </c>
      <c r="E359" s="57">
        <v>26000</v>
      </c>
      <c r="F359" s="57">
        <v>35000</v>
      </c>
      <c r="G359" s="57">
        <v>26000</v>
      </c>
      <c r="H359" s="69"/>
      <c r="I359" s="234"/>
      <c r="J359" s="175" t="s">
        <v>227</v>
      </c>
      <c r="K359" s="57">
        <f t="shared" ref="K359:M361" si="27">E359/2</f>
        <v>13000</v>
      </c>
      <c r="L359" s="57">
        <f t="shared" si="27"/>
        <v>17500</v>
      </c>
      <c r="M359" s="57">
        <f t="shared" si="27"/>
        <v>13000</v>
      </c>
      <c r="N359" s="69"/>
      <c r="O359" s="69"/>
      <c r="P359" s="138"/>
      <c r="Q359"/>
      <c r="V359"/>
      <c r="W359"/>
      <c r="X359"/>
    </row>
    <row r="360" spans="2:24">
      <c r="B360" s="74"/>
      <c r="C360" s="235" t="s">
        <v>210</v>
      </c>
      <c r="D360" s="175" t="s">
        <v>158</v>
      </c>
      <c r="E360" s="248">
        <v>29000</v>
      </c>
      <c r="F360" s="248">
        <v>39000</v>
      </c>
      <c r="G360" s="248">
        <v>29000</v>
      </c>
      <c r="H360" s="69"/>
      <c r="I360" s="235" t="s">
        <v>210</v>
      </c>
      <c r="J360" s="175" t="s">
        <v>158</v>
      </c>
      <c r="K360" s="248">
        <f t="shared" si="27"/>
        <v>14500</v>
      </c>
      <c r="L360" s="248">
        <f t="shared" si="27"/>
        <v>19500</v>
      </c>
      <c r="M360" s="248">
        <f t="shared" si="27"/>
        <v>14500</v>
      </c>
      <c r="N360" s="69"/>
      <c r="O360" s="69"/>
      <c r="P360" s="138"/>
      <c r="Q360"/>
      <c r="R360"/>
      <c r="S360"/>
      <c r="T360"/>
      <c r="U360"/>
      <c r="V360"/>
      <c r="W360"/>
      <c r="X360"/>
    </row>
    <row r="361" spans="2:24">
      <c r="B361" s="74"/>
      <c r="C361" s="236"/>
      <c r="D361" s="175" t="s">
        <v>159</v>
      </c>
      <c r="E361" s="57">
        <v>35000</v>
      </c>
      <c r="F361" s="57">
        <v>47000</v>
      </c>
      <c r="G361" s="57">
        <v>35000</v>
      </c>
      <c r="H361" s="69"/>
      <c r="I361" s="236"/>
      <c r="J361" s="175" t="s">
        <v>159</v>
      </c>
      <c r="K361" s="57">
        <f t="shared" si="27"/>
        <v>17500</v>
      </c>
      <c r="L361" s="57">
        <f t="shared" si="27"/>
        <v>23500</v>
      </c>
      <c r="M361" s="57">
        <f t="shared" si="27"/>
        <v>17500</v>
      </c>
      <c r="N361" s="69"/>
      <c r="O361" s="69"/>
      <c r="P361" s="138"/>
      <c r="Q361"/>
      <c r="V361"/>
      <c r="W361"/>
      <c r="X361"/>
    </row>
    <row r="362" spans="2:24">
      <c r="B362" s="74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138"/>
      <c r="Q362"/>
      <c r="R362"/>
      <c r="S362"/>
      <c r="T362"/>
      <c r="U362"/>
      <c r="V362"/>
      <c r="W362"/>
      <c r="X362"/>
    </row>
    <row r="363" spans="2:24">
      <c r="B363" s="74"/>
      <c r="C363" s="130" t="s">
        <v>208</v>
      </c>
      <c r="D363" s="69"/>
      <c r="E363" s="69"/>
      <c r="F363" s="69"/>
      <c r="G363" s="69"/>
      <c r="H363" s="69"/>
      <c r="I363" s="133" t="s">
        <v>184</v>
      </c>
      <c r="J363" s="69"/>
      <c r="K363" s="69"/>
      <c r="L363" s="69"/>
      <c r="M363" s="69"/>
      <c r="N363" s="69"/>
      <c r="O363" s="69"/>
      <c r="P363" s="138"/>
      <c r="Q363"/>
      <c r="R363"/>
      <c r="S363"/>
      <c r="T363"/>
      <c r="U363"/>
      <c r="V363"/>
      <c r="W363"/>
      <c r="X363"/>
    </row>
    <row r="364" spans="2:24">
      <c r="B364" s="74"/>
      <c r="C364" s="69"/>
      <c r="D364" s="69"/>
      <c r="E364" s="69"/>
      <c r="F364" s="69"/>
      <c r="G364" s="69"/>
      <c r="H364" s="69"/>
      <c r="I364" s="69"/>
      <c r="J364" s="69"/>
      <c r="K364" s="202"/>
      <c r="L364" s="232" t="s">
        <v>181</v>
      </c>
      <c r="M364" s="233"/>
      <c r="N364" s="69"/>
      <c r="O364" s="69"/>
      <c r="P364" s="138"/>
      <c r="Q364"/>
      <c r="R364"/>
      <c r="S364"/>
      <c r="T364"/>
      <c r="U364"/>
      <c r="V364"/>
      <c r="W364"/>
      <c r="X364"/>
    </row>
    <row r="365" spans="2:24">
      <c r="B365" s="74"/>
      <c r="C365" s="169" t="s">
        <v>102</v>
      </c>
      <c r="D365" s="169" t="s">
        <v>154</v>
      </c>
      <c r="E365" s="69"/>
      <c r="F365" s="69"/>
      <c r="G365" s="69"/>
      <c r="H365" s="69"/>
      <c r="I365" s="169" t="s">
        <v>102</v>
      </c>
      <c r="J365" s="169" t="s">
        <v>182</v>
      </c>
      <c r="K365" s="169" t="s">
        <v>8</v>
      </c>
      <c r="L365" s="169" t="s">
        <v>9</v>
      </c>
      <c r="M365" s="169" t="s">
        <v>156</v>
      </c>
      <c r="N365" s="69"/>
      <c r="O365" s="69"/>
      <c r="P365" s="138"/>
      <c r="Q365"/>
      <c r="R365"/>
      <c r="S365"/>
      <c r="T365"/>
      <c r="U365"/>
      <c r="V365"/>
      <c r="W365"/>
      <c r="X365"/>
    </row>
    <row r="366" spans="2:24">
      <c r="B366" s="74"/>
      <c r="C366" s="66" t="s">
        <v>210</v>
      </c>
      <c r="D366" s="51">
        <v>0.2</v>
      </c>
      <c r="E366" s="69"/>
      <c r="F366" s="69"/>
      <c r="G366" s="69"/>
      <c r="H366" s="69"/>
      <c r="I366" s="234"/>
      <c r="J366" s="175" t="s">
        <v>227</v>
      </c>
      <c r="K366" s="57">
        <f t="shared" ref="K366:M368" si="28">E359*2</f>
        <v>52000</v>
      </c>
      <c r="L366" s="57">
        <f t="shared" si="28"/>
        <v>70000</v>
      </c>
      <c r="M366" s="57">
        <f t="shared" si="28"/>
        <v>52000</v>
      </c>
      <c r="N366" s="69"/>
      <c r="O366" s="69"/>
      <c r="P366" s="138"/>
      <c r="Q366"/>
      <c r="R366"/>
      <c r="S366"/>
      <c r="T366"/>
      <c r="U366"/>
      <c r="V366"/>
      <c r="W366"/>
      <c r="X366"/>
    </row>
    <row r="367" spans="2:24">
      <c r="B367" s="74"/>
      <c r="C367" s="69"/>
      <c r="D367" s="69"/>
      <c r="E367" s="69"/>
      <c r="F367" s="69"/>
      <c r="G367" s="69"/>
      <c r="H367" s="69"/>
      <c r="I367" s="235" t="s">
        <v>210</v>
      </c>
      <c r="J367" s="175" t="s">
        <v>158</v>
      </c>
      <c r="K367" s="248">
        <f t="shared" si="28"/>
        <v>58000</v>
      </c>
      <c r="L367" s="248">
        <f t="shared" si="28"/>
        <v>78000</v>
      </c>
      <c r="M367" s="248">
        <f t="shared" si="28"/>
        <v>58000</v>
      </c>
      <c r="N367" s="69"/>
      <c r="O367" s="69"/>
      <c r="P367" s="138"/>
      <c r="Q367"/>
      <c r="R367"/>
      <c r="S367"/>
      <c r="T367"/>
      <c r="U367"/>
      <c r="V367"/>
      <c r="W367"/>
      <c r="X367"/>
    </row>
    <row r="368" spans="2:24">
      <c r="B368" s="74"/>
      <c r="C368" s="69"/>
      <c r="D368" s="69"/>
      <c r="E368" s="69"/>
      <c r="F368" s="69"/>
      <c r="G368" s="69"/>
      <c r="H368" s="69"/>
      <c r="I368" s="236"/>
      <c r="J368" s="175" t="s">
        <v>159</v>
      </c>
      <c r="K368" s="57">
        <f t="shared" si="28"/>
        <v>70000</v>
      </c>
      <c r="L368" s="57">
        <f t="shared" si="28"/>
        <v>94000</v>
      </c>
      <c r="M368" s="57">
        <f t="shared" si="28"/>
        <v>70000</v>
      </c>
      <c r="N368" s="69"/>
      <c r="O368" s="69"/>
      <c r="P368" s="138"/>
      <c r="Q368"/>
      <c r="R368"/>
      <c r="S368"/>
      <c r="T368"/>
      <c r="U368"/>
      <c r="V368"/>
      <c r="W368"/>
      <c r="X368"/>
    </row>
    <row r="369" spans="2:25">
      <c r="B369" s="74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138"/>
      <c r="Q369"/>
      <c r="R369"/>
      <c r="S369"/>
      <c r="T369"/>
      <c r="U369"/>
      <c r="V369"/>
      <c r="W369"/>
      <c r="X369"/>
    </row>
    <row r="370" spans="2:25">
      <c r="B370" s="20"/>
      <c r="C370" s="2"/>
      <c r="D370" s="2"/>
      <c r="E370" s="2"/>
      <c r="F370" s="2"/>
      <c r="G370" s="60"/>
      <c r="H370" s="60"/>
      <c r="I370" s="21"/>
      <c r="J370" s="21"/>
      <c r="K370" s="21"/>
      <c r="L370" s="21"/>
      <c r="M370" s="21"/>
      <c r="N370" s="21"/>
      <c r="O370" s="21"/>
      <c r="P370" s="22"/>
      <c r="Q370"/>
      <c r="R370"/>
      <c r="S370"/>
      <c r="T370"/>
      <c r="U370"/>
      <c r="V370"/>
      <c r="W370"/>
      <c r="X370"/>
      <c r="Y370" s="2"/>
    </row>
    <row r="371" spans="2:25">
      <c r="B371" s="20"/>
      <c r="C371" s="108" t="s">
        <v>283</v>
      </c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21"/>
      <c r="O371" s="21"/>
      <c r="P371" s="22"/>
      <c r="Q371"/>
      <c r="R371"/>
      <c r="S371"/>
      <c r="T371"/>
      <c r="U371"/>
      <c r="V371"/>
      <c r="W371"/>
      <c r="X371"/>
    </row>
    <row r="372" spans="2:25">
      <c r="B372" s="2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21"/>
      <c r="P372" s="22"/>
      <c r="Q372"/>
      <c r="R372"/>
      <c r="S372"/>
      <c r="T372"/>
      <c r="U372"/>
      <c r="V372"/>
      <c r="W372"/>
      <c r="X372"/>
    </row>
    <row r="373" spans="2:25">
      <c r="B373" s="20"/>
      <c r="C373" s="238" t="s">
        <v>320</v>
      </c>
      <c r="D373" s="239"/>
      <c r="E373" s="237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2"/>
      <c r="Q373"/>
      <c r="R373"/>
      <c r="S373"/>
      <c r="T373"/>
      <c r="U373"/>
      <c r="V373"/>
      <c r="W373"/>
      <c r="X373"/>
    </row>
    <row r="374" spans="2:25">
      <c r="B374" s="20"/>
      <c r="C374" s="221" t="s">
        <v>289</v>
      </c>
      <c r="D374" s="240"/>
      <c r="E374" s="314">
        <f>$E$157</f>
        <v>400</v>
      </c>
      <c r="F374" s="21"/>
      <c r="G374" s="21"/>
      <c r="H374" s="21"/>
      <c r="M374" s="21"/>
      <c r="N374" s="21"/>
      <c r="O374" s="21"/>
      <c r="P374" s="22"/>
      <c r="Q374"/>
      <c r="R374"/>
      <c r="S374"/>
      <c r="T374"/>
      <c r="U374"/>
      <c r="V374"/>
      <c r="W374"/>
      <c r="X374"/>
    </row>
    <row r="375" spans="2:25">
      <c r="B375" s="20"/>
      <c r="C375" s="221" t="s">
        <v>29</v>
      </c>
      <c r="D375" s="240"/>
      <c r="E375" s="315" t="e">
        <f ca="1">IF((K269+K284+K299)&gt;0,((O489*0.1)+(O490*0.1)+(O491*0.25))/(K269+K284+K299),(O489*0.1)+(O490*0.1)+(O491*0.25))</f>
        <v>#NAME?</v>
      </c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2"/>
      <c r="Q375"/>
      <c r="R375"/>
      <c r="S375"/>
      <c r="T375"/>
      <c r="U375"/>
      <c r="V375"/>
      <c r="W375"/>
      <c r="X375"/>
    </row>
    <row r="376" spans="2:25">
      <c r="B376" s="20"/>
      <c r="C376" s="221" t="s">
        <v>321</v>
      </c>
      <c r="D376" s="240"/>
      <c r="E376" s="315" t="e">
        <f ca="1">IF((K269+K284+K299)&gt;0,((14000000+(((M257+M272+M287)/6)*50000))+(N257+N272+N287)+H305+H189+L174)/(K269+K284+K299),(14000000+(((M257+M272+M287)/6)*50000))+(N257+N272+N287)+H305+H189+L174)</f>
        <v>#NAME?</v>
      </c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2"/>
      <c r="Q376"/>
      <c r="R376"/>
      <c r="S376"/>
      <c r="T376"/>
      <c r="U376"/>
      <c r="V376"/>
      <c r="W376"/>
      <c r="X376"/>
    </row>
    <row r="377" spans="2:25">
      <c r="B377" s="20"/>
      <c r="C377" s="221" t="s">
        <v>295</v>
      </c>
      <c r="D377" s="240"/>
      <c r="E377" s="315">
        <f>IF((K269+K284+K299)&gt;0,-H507/(K269+K284+K299),-H507)</f>
        <v>0</v>
      </c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2"/>
      <c r="Q377"/>
      <c r="R377"/>
      <c r="S377"/>
      <c r="T377"/>
      <c r="U377"/>
      <c r="V377"/>
      <c r="W377"/>
      <c r="X377"/>
    </row>
    <row r="378" spans="2:25">
      <c r="B378" s="20"/>
      <c r="C378" s="221" t="s">
        <v>155</v>
      </c>
      <c r="D378" s="240"/>
      <c r="E378" s="315" t="e">
        <f ca="1">SUM(E374:E377)</f>
        <v>#NAME?</v>
      </c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2"/>
      <c r="Q378"/>
      <c r="R378"/>
      <c r="S378"/>
      <c r="T378"/>
      <c r="U378"/>
      <c r="V378"/>
      <c r="W378"/>
      <c r="X378"/>
    </row>
    <row r="379" spans="2:25">
      <c r="B379" s="20"/>
      <c r="C379" s="21" t="s">
        <v>335</v>
      </c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2"/>
      <c r="Q379"/>
      <c r="R379"/>
      <c r="S379"/>
      <c r="T379"/>
      <c r="U379"/>
      <c r="V379"/>
      <c r="W379"/>
      <c r="X379"/>
    </row>
    <row r="380" spans="2:25">
      <c r="B380" s="20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2"/>
      <c r="Q380"/>
      <c r="R380"/>
      <c r="S380"/>
      <c r="T380"/>
      <c r="U380"/>
      <c r="V380"/>
      <c r="W380"/>
      <c r="X380"/>
    </row>
    <row r="381" spans="2:25">
      <c r="B381" s="20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2"/>
      <c r="Q381"/>
      <c r="R381"/>
      <c r="S381"/>
      <c r="T381"/>
      <c r="U381"/>
      <c r="V381"/>
      <c r="W381"/>
      <c r="X381"/>
    </row>
    <row r="382" spans="2:25">
      <c r="B382" s="20"/>
      <c r="C382" s="224" t="s">
        <v>3</v>
      </c>
      <c r="D382" s="250" t="str">
        <f>C257</f>
        <v>S3</v>
      </c>
      <c r="E382" s="224" t="s">
        <v>4</v>
      </c>
      <c r="F382" s="250">
        <f>D257</f>
        <v>0</v>
      </c>
      <c r="G382" s="224" t="s">
        <v>132</v>
      </c>
      <c r="H382" s="250">
        <f>E257</f>
        <v>0</v>
      </c>
      <c r="I382" s="60"/>
      <c r="J382" s="60"/>
      <c r="K382" s="60"/>
      <c r="L382" s="60"/>
      <c r="M382" s="60"/>
      <c r="N382" s="60"/>
      <c r="O382" s="21"/>
      <c r="P382" s="22"/>
      <c r="Q382"/>
      <c r="R382"/>
      <c r="S382"/>
      <c r="T382"/>
      <c r="U382"/>
      <c r="V382"/>
      <c r="W382"/>
      <c r="X382"/>
    </row>
    <row r="383" spans="2:25">
      <c r="B383" s="2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21"/>
      <c r="P383" s="22"/>
      <c r="Q383"/>
      <c r="R383"/>
      <c r="S383"/>
      <c r="T383"/>
      <c r="U383"/>
      <c r="V383"/>
      <c r="W383"/>
      <c r="X383"/>
    </row>
    <row r="384" spans="2:25">
      <c r="B384" s="20"/>
      <c r="C384" s="60"/>
      <c r="D384" s="344" t="s">
        <v>290</v>
      </c>
      <c r="E384" s="345"/>
      <c r="F384" s="345"/>
      <c r="G384" s="346"/>
      <c r="H384" s="60"/>
      <c r="I384" s="60"/>
      <c r="J384" s="60"/>
      <c r="K384" s="60"/>
      <c r="L384" s="60"/>
      <c r="M384" s="60"/>
      <c r="N384" s="60"/>
      <c r="O384" s="21"/>
      <c r="P384" s="22"/>
      <c r="Q384"/>
      <c r="R384"/>
      <c r="S384"/>
      <c r="T384"/>
      <c r="U384"/>
      <c r="V384"/>
      <c r="W384"/>
      <c r="X384"/>
    </row>
    <row r="385" spans="2:24" ht="31.5">
      <c r="B385" s="20"/>
      <c r="C385" s="224" t="s">
        <v>123</v>
      </c>
      <c r="D385" s="224" t="s">
        <v>286</v>
      </c>
      <c r="E385" s="224" t="s">
        <v>287</v>
      </c>
      <c r="F385" s="224" t="s">
        <v>288</v>
      </c>
      <c r="G385" s="224" t="s">
        <v>155</v>
      </c>
      <c r="H385" s="224" t="s">
        <v>322</v>
      </c>
      <c r="I385" s="224" t="s">
        <v>291</v>
      </c>
      <c r="J385" s="224" t="s">
        <v>292</v>
      </c>
      <c r="K385" s="224" t="s">
        <v>318</v>
      </c>
      <c r="L385" s="224" t="s">
        <v>319</v>
      </c>
      <c r="M385" s="224" t="s">
        <v>293</v>
      </c>
      <c r="N385" s="224" t="s">
        <v>294</v>
      </c>
      <c r="O385" s="21"/>
      <c r="P385" s="22"/>
      <c r="Q385"/>
      <c r="R385"/>
      <c r="S385"/>
      <c r="T385"/>
      <c r="U385"/>
      <c r="V385"/>
      <c r="W385"/>
      <c r="X385"/>
    </row>
    <row r="386" spans="2:24">
      <c r="B386" s="20"/>
      <c r="C386" s="256" t="str">
        <f t="shared" ref="C386:C393" si="29">CONCATENATE(C261,"/",D261,"/",E261,"/",F261)</f>
        <v>0/0/0/0</v>
      </c>
      <c r="D386" s="315" t="e">
        <f t="shared" ref="D386:D393" ca="1" si="30">J261*$L$236</f>
        <v>#NAME?</v>
      </c>
      <c r="E386" s="315">
        <f t="shared" ref="E386:E393" si="31">IF(K261&gt;0,$M$236,0)</f>
        <v>0</v>
      </c>
      <c r="F386" s="315">
        <f t="shared" ref="F386:F393" si="32">IF(K261&gt;0,($K$257*(1+$L$257)*$M$257)/$K$269,0)</f>
        <v>0</v>
      </c>
      <c r="G386" s="315" t="e">
        <f ca="1">SUM(D386:F386)</f>
        <v>#NAME?</v>
      </c>
      <c r="H386" s="315">
        <f t="shared" ref="H386:H393" si="33">IF(K261&gt;0,G386+$E$378,0)</f>
        <v>0</v>
      </c>
      <c r="I386" s="327"/>
      <c r="J386" s="315">
        <f>H386*(1+I386)</f>
        <v>0</v>
      </c>
      <c r="K386" s="315">
        <f>M386*0.0114</f>
        <v>0</v>
      </c>
      <c r="L386" s="315">
        <f>M386*$E$154</f>
        <v>0</v>
      </c>
      <c r="M386" s="315">
        <f>J386/(1-($E$154+0.0114))</f>
        <v>0</v>
      </c>
      <c r="N386" s="315">
        <f>M386*(1+$D$366)</f>
        <v>0</v>
      </c>
      <c r="O386" s="21"/>
      <c r="P386" s="22"/>
      <c r="Q386"/>
      <c r="R386"/>
      <c r="S386"/>
      <c r="T386"/>
      <c r="U386"/>
      <c r="V386"/>
      <c r="W386"/>
      <c r="X386"/>
    </row>
    <row r="387" spans="2:24">
      <c r="B387" s="20"/>
      <c r="C387" s="256" t="str">
        <f t="shared" si="29"/>
        <v>0/0/0/0</v>
      </c>
      <c r="D387" s="315" t="e">
        <f t="shared" ca="1" si="30"/>
        <v>#NAME?</v>
      </c>
      <c r="E387" s="315">
        <f t="shared" si="31"/>
        <v>0</v>
      </c>
      <c r="F387" s="315">
        <f t="shared" si="32"/>
        <v>0</v>
      </c>
      <c r="G387" s="315" t="e">
        <f t="shared" ref="G387:G393" ca="1" si="34">SUM(D387:F387)</f>
        <v>#NAME?</v>
      </c>
      <c r="H387" s="315">
        <f t="shared" si="33"/>
        <v>0</v>
      </c>
      <c r="I387" s="327"/>
      <c r="J387" s="315">
        <f t="shared" ref="J387:J393" si="35">H387*(1+I387)</f>
        <v>0</v>
      </c>
      <c r="K387" s="315">
        <f t="shared" ref="K387:K393" si="36">M387*0.0114</f>
        <v>0</v>
      </c>
      <c r="L387" s="315">
        <f t="shared" ref="L387:L393" si="37">M387*$E$154</f>
        <v>0</v>
      </c>
      <c r="M387" s="315">
        <f t="shared" ref="M387:M393" si="38">J387/(1-($E$154+0.0114))</f>
        <v>0</v>
      </c>
      <c r="N387" s="315">
        <f t="shared" ref="N387:N393" si="39">M387*(1+$D$366)</f>
        <v>0</v>
      </c>
      <c r="O387" s="21"/>
      <c r="P387" s="22"/>
      <c r="Q387"/>
      <c r="R387"/>
      <c r="S387"/>
      <c r="T387"/>
      <c r="U387"/>
      <c r="V387"/>
      <c r="W387"/>
      <c r="X387"/>
    </row>
    <row r="388" spans="2:24">
      <c r="B388" s="20"/>
      <c r="C388" s="256" t="str">
        <f t="shared" si="29"/>
        <v>0/0/0/0</v>
      </c>
      <c r="D388" s="315" t="e">
        <f t="shared" ca="1" si="30"/>
        <v>#NAME?</v>
      </c>
      <c r="E388" s="315">
        <f t="shared" si="31"/>
        <v>0</v>
      </c>
      <c r="F388" s="315">
        <f t="shared" si="32"/>
        <v>0</v>
      </c>
      <c r="G388" s="315" t="e">
        <f t="shared" ca="1" si="34"/>
        <v>#NAME?</v>
      </c>
      <c r="H388" s="315">
        <f t="shared" si="33"/>
        <v>0</v>
      </c>
      <c r="I388" s="327"/>
      <c r="J388" s="315">
        <f t="shared" si="35"/>
        <v>0</v>
      </c>
      <c r="K388" s="315">
        <f t="shared" si="36"/>
        <v>0</v>
      </c>
      <c r="L388" s="315">
        <f t="shared" si="37"/>
        <v>0</v>
      </c>
      <c r="M388" s="315">
        <f t="shared" si="38"/>
        <v>0</v>
      </c>
      <c r="N388" s="315">
        <f t="shared" si="39"/>
        <v>0</v>
      </c>
      <c r="O388" s="21"/>
      <c r="P388" s="22"/>
      <c r="Q388"/>
      <c r="R388"/>
      <c r="S388"/>
      <c r="T388"/>
      <c r="U388"/>
      <c r="V388"/>
      <c r="W388"/>
      <c r="X388"/>
    </row>
    <row r="389" spans="2:24">
      <c r="B389" s="20"/>
      <c r="C389" s="256" t="str">
        <f t="shared" si="29"/>
        <v>0/0/0/0</v>
      </c>
      <c r="D389" s="315" t="e">
        <f t="shared" ca="1" si="30"/>
        <v>#NAME?</v>
      </c>
      <c r="E389" s="315">
        <f t="shared" si="31"/>
        <v>0</v>
      </c>
      <c r="F389" s="315">
        <f t="shared" si="32"/>
        <v>0</v>
      </c>
      <c r="G389" s="315" t="e">
        <f t="shared" ca="1" si="34"/>
        <v>#NAME?</v>
      </c>
      <c r="H389" s="315">
        <f t="shared" si="33"/>
        <v>0</v>
      </c>
      <c r="I389" s="327"/>
      <c r="J389" s="315">
        <f t="shared" si="35"/>
        <v>0</v>
      </c>
      <c r="K389" s="315">
        <f t="shared" si="36"/>
        <v>0</v>
      </c>
      <c r="L389" s="315">
        <f t="shared" si="37"/>
        <v>0</v>
      </c>
      <c r="M389" s="315">
        <f t="shared" si="38"/>
        <v>0</v>
      </c>
      <c r="N389" s="315">
        <f t="shared" si="39"/>
        <v>0</v>
      </c>
      <c r="O389" s="21"/>
      <c r="P389" s="22"/>
      <c r="Q389"/>
      <c r="R389"/>
      <c r="S389"/>
      <c r="T389"/>
      <c r="U389"/>
      <c r="V389"/>
      <c r="W389"/>
      <c r="X389"/>
    </row>
    <row r="390" spans="2:24">
      <c r="B390" s="20"/>
      <c r="C390" s="256" t="str">
        <f t="shared" si="29"/>
        <v>0/0/0/0</v>
      </c>
      <c r="D390" s="315" t="e">
        <f t="shared" ca="1" si="30"/>
        <v>#NAME?</v>
      </c>
      <c r="E390" s="315">
        <f t="shared" si="31"/>
        <v>0</v>
      </c>
      <c r="F390" s="315">
        <f t="shared" si="32"/>
        <v>0</v>
      </c>
      <c r="G390" s="315" t="e">
        <f t="shared" ca="1" si="34"/>
        <v>#NAME?</v>
      </c>
      <c r="H390" s="315">
        <f t="shared" si="33"/>
        <v>0</v>
      </c>
      <c r="I390" s="327"/>
      <c r="J390" s="315">
        <f t="shared" si="35"/>
        <v>0</v>
      </c>
      <c r="K390" s="315">
        <f t="shared" si="36"/>
        <v>0</v>
      </c>
      <c r="L390" s="315">
        <f t="shared" si="37"/>
        <v>0</v>
      </c>
      <c r="M390" s="315">
        <f t="shared" si="38"/>
        <v>0</v>
      </c>
      <c r="N390" s="315">
        <f t="shared" si="39"/>
        <v>0</v>
      </c>
      <c r="O390" s="21"/>
      <c r="P390" s="22"/>
      <c r="Q390"/>
      <c r="R390"/>
      <c r="S390"/>
      <c r="T390"/>
      <c r="U390"/>
      <c r="V390"/>
      <c r="W390"/>
      <c r="X390"/>
    </row>
    <row r="391" spans="2:24">
      <c r="B391" s="20"/>
      <c r="C391" s="256" t="str">
        <f t="shared" si="29"/>
        <v>0/0/0/0</v>
      </c>
      <c r="D391" s="315" t="e">
        <f t="shared" ca="1" si="30"/>
        <v>#NAME?</v>
      </c>
      <c r="E391" s="315">
        <f t="shared" si="31"/>
        <v>0</v>
      </c>
      <c r="F391" s="315">
        <f t="shared" si="32"/>
        <v>0</v>
      </c>
      <c r="G391" s="315" t="e">
        <f t="shared" ca="1" si="34"/>
        <v>#NAME?</v>
      </c>
      <c r="H391" s="315">
        <f t="shared" si="33"/>
        <v>0</v>
      </c>
      <c r="I391" s="327"/>
      <c r="J391" s="315">
        <f t="shared" si="35"/>
        <v>0</v>
      </c>
      <c r="K391" s="315">
        <f t="shared" si="36"/>
        <v>0</v>
      </c>
      <c r="L391" s="315">
        <f t="shared" si="37"/>
        <v>0</v>
      </c>
      <c r="M391" s="315">
        <f t="shared" si="38"/>
        <v>0</v>
      </c>
      <c r="N391" s="315">
        <f t="shared" si="39"/>
        <v>0</v>
      </c>
      <c r="O391" s="21"/>
      <c r="P391" s="22"/>
      <c r="Q391"/>
      <c r="R391"/>
      <c r="S391"/>
      <c r="T391"/>
      <c r="U391"/>
      <c r="V391"/>
      <c r="W391"/>
      <c r="X391"/>
    </row>
    <row r="392" spans="2:24">
      <c r="B392" s="20"/>
      <c r="C392" s="256" t="str">
        <f t="shared" si="29"/>
        <v>0/0/0/0</v>
      </c>
      <c r="D392" s="315" t="e">
        <f t="shared" ca="1" si="30"/>
        <v>#NAME?</v>
      </c>
      <c r="E392" s="315">
        <f t="shared" si="31"/>
        <v>0</v>
      </c>
      <c r="F392" s="315">
        <f t="shared" si="32"/>
        <v>0</v>
      </c>
      <c r="G392" s="315" t="e">
        <f t="shared" ca="1" si="34"/>
        <v>#NAME?</v>
      </c>
      <c r="H392" s="315">
        <f t="shared" si="33"/>
        <v>0</v>
      </c>
      <c r="I392" s="327"/>
      <c r="J392" s="315">
        <f t="shared" si="35"/>
        <v>0</v>
      </c>
      <c r="K392" s="315">
        <f t="shared" si="36"/>
        <v>0</v>
      </c>
      <c r="L392" s="315">
        <f t="shared" si="37"/>
        <v>0</v>
      </c>
      <c r="M392" s="315">
        <f t="shared" si="38"/>
        <v>0</v>
      </c>
      <c r="N392" s="315">
        <f t="shared" si="39"/>
        <v>0</v>
      </c>
      <c r="O392" s="21"/>
      <c r="P392" s="22"/>
      <c r="Q392"/>
      <c r="R392"/>
      <c r="S392"/>
      <c r="T392"/>
      <c r="U392"/>
      <c r="V392"/>
      <c r="W392"/>
      <c r="X392"/>
    </row>
    <row r="393" spans="2:24">
      <c r="B393" s="20"/>
      <c r="C393" s="256" t="str">
        <f t="shared" si="29"/>
        <v>0/0/0/0</v>
      </c>
      <c r="D393" s="315" t="e">
        <f t="shared" ca="1" si="30"/>
        <v>#NAME?</v>
      </c>
      <c r="E393" s="315">
        <f t="shared" si="31"/>
        <v>0</v>
      </c>
      <c r="F393" s="315">
        <f t="shared" si="32"/>
        <v>0</v>
      </c>
      <c r="G393" s="315" t="e">
        <f t="shared" ca="1" si="34"/>
        <v>#NAME?</v>
      </c>
      <c r="H393" s="315">
        <f t="shared" si="33"/>
        <v>0</v>
      </c>
      <c r="I393" s="327"/>
      <c r="J393" s="315">
        <f t="shared" si="35"/>
        <v>0</v>
      </c>
      <c r="K393" s="315">
        <f t="shared" si="36"/>
        <v>0</v>
      </c>
      <c r="L393" s="315">
        <f t="shared" si="37"/>
        <v>0</v>
      </c>
      <c r="M393" s="315">
        <f t="shared" si="38"/>
        <v>0</v>
      </c>
      <c r="N393" s="315">
        <f t="shared" si="39"/>
        <v>0</v>
      </c>
      <c r="O393" s="21"/>
      <c r="P393" s="22"/>
      <c r="Q393"/>
      <c r="R393"/>
      <c r="S393"/>
      <c r="T393"/>
      <c r="U393"/>
      <c r="V393"/>
      <c r="W393"/>
      <c r="X393"/>
    </row>
    <row r="394" spans="2:24">
      <c r="B394" s="2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21"/>
      <c r="P394" s="22"/>
      <c r="Q394"/>
      <c r="R394"/>
      <c r="S394"/>
      <c r="T394"/>
      <c r="U394"/>
      <c r="V394"/>
      <c r="W394"/>
      <c r="X394"/>
    </row>
    <row r="395" spans="2:24">
      <c r="B395" s="2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21"/>
      <c r="P395" s="22"/>
      <c r="Q395"/>
      <c r="R395"/>
      <c r="S395"/>
      <c r="T395"/>
      <c r="U395"/>
      <c r="V395"/>
      <c r="W395"/>
      <c r="X395"/>
    </row>
    <row r="396" spans="2:24">
      <c r="B396" s="20"/>
      <c r="C396" s="224" t="s">
        <v>3</v>
      </c>
      <c r="D396" s="250" t="str">
        <f>C272</f>
        <v>S4</v>
      </c>
      <c r="E396" s="224" t="s">
        <v>4</v>
      </c>
      <c r="F396" s="250">
        <f>D272</f>
        <v>0</v>
      </c>
      <c r="G396" s="224" t="s">
        <v>132</v>
      </c>
      <c r="H396" s="250">
        <f>E272</f>
        <v>0</v>
      </c>
      <c r="I396" s="60"/>
      <c r="J396" s="60"/>
      <c r="K396" s="60"/>
      <c r="L396" s="60"/>
      <c r="M396" s="60"/>
      <c r="N396" s="60"/>
      <c r="O396" s="21"/>
      <c r="P396" s="22"/>
      <c r="Q396"/>
      <c r="R396"/>
      <c r="S396"/>
      <c r="T396"/>
      <c r="U396"/>
      <c r="V396"/>
      <c r="W396"/>
      <c r="X396"/>
    </row>
    <row r="397" spans="2:24">
      <c r="B397" s="2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21"/>
      <c r="P397" s="22"/>
      <c r="Q397"/>
      <c r="R397"/>
      <c r="S397"/>
      <c r="T397"/>
      <c r="U397"/>
      <c r="V397"/>
      <c r="W397"/>
      <c r="X397"/>
    </row>
    <row r="398" spans="2:24">
      <c r="B398" s="20"/>
      <c r="C398" s="60"/>
      <c r="D398" s="344" t="s">
        <v>290</v>
      </c>
      <c r="E398" s="345"/>
      <c r="F398" s="345"/>
      <c r="G398" s="346"/>
      <c r="H398" s="60"/>
      <c r="I398" s="60"/>
      <c r="J398" s="60"/>
      <c r="K398" s="60"/>
      <c r="L398" s="60"/>
      <c r="M398" s="60"/>
      <c r="N398" s="60"/>
      <c r="O398" s="21"/>
      <c r="P398" s="22"/>
      <c r="Q398"/>
      <c r="R398"/>
      <c r="S398"/>
      <c r="T398"/>
      <c r="U398"/>
      <c r="V398"/>
      <c r="W398"/>
      <c r="X398"/>
    </row>
    <row r="399" spans="2:24" ht="31.5">
      <c r="B399" s="20"/>
      <c r="C399" s="224" t="s">
        <v>123</v>
      </c>
      <c r="D399" s="224" t="s">
        <v>286</v>
      </c>
      <c r="E399" s="224" t="s">
        <v>287</v>
      </c>
      <c r="F399" s="224" t="s">
        <v>288</v>
      </c>
      <c r="G399" s="224" t="s">
        <v>155</v>
      </c>
      <c r="H399" s="224" t="s">
        <v>322</v>
      </c>
      <c r="I399" s="224" t="s">
        <v>291</v>
      </c>
      <c r="J399" s="224" t="s">
        <v>292</v>
      </c>
      <c r="K399" s="224" t="s">
        <v>318</v>
      </c>
      <c r="L399" s="224" t="s">
        <v>319</v>
      </c>
      <c r="M399" s="224" t="s">
        <v>293</v>
      </c>
      <c r="N399" s="224" t="s">
        <v>294</v>
      </c>
      <c r="O399" s="21"/>
      <c r="P399" s="22"/>
      <c r="Q399"/>
      <c r="R399"/>
      <c r="S399"/>
      <c r="T399"/>
      <c r="U399"/>
      <c r="V399"/>
      <c r="W399"/>
      <c r="X399"/>
    </row>
    <row r="400" spans="2:24">
      <c r="B400" s="20"/>
      <c r="C400" s="256" t="str">
        <f t="shared" ref="C400:C407" si="40">CONCATENATE(C276,"/",D276,"/",E276,"/",F276)</f>
        <v>0/0/0/0</v>
      </c>
      <c r="D400" s="315" t="e">
        <f t="shared" ref="D400:D407" ca="1" si="41">J276*$L$237</f>
        <v>#NAME?</v>
      </c>
      <c r="E400" s="315">
        <f t="shared" ref="E400:E407" si="42">IF(K276&gt;0,$M$237,0)</f>
        <v>0</v>
      </c>
      <c r="F400" s="315">
        <f t="shared" ref="F400:F407" si="43">IF(K276&gt;0,($K$272*(1+$L$272)*$M$272)/$K$284,0)</f>
        <v>0</v>
      </c>
      <c r="G400" s="315" t="e">
        <f ca="1">SUM(D400:F400)</f>
        <v>#NAME?</v>
      </c>
      <c r="H400" s="315">
        <f t="shared" ref="H400:H407" si="44">IF(K276&gt;0,G400+$E$378,0)</f>
        <v>0</v>
      </c>
      <c r="I400" s="327"/>
      <c r="J400" s="315">
        <f>H400*(1+I400)</f>
        <v>0</v>
      </c>
      <c r="K400" s="315">
        <f>M400*0.0114</f>
        <v>0</v>
      </c>
      <c r="L400" s="315">
        <f>M400*$E$154</f>
        <v>0</v>
      </c>
      <c r="M400" s="315">
        <f>J400/(1-($E$154+0.0114))</f>
        <v>0</v>
      </c>
      <c r="N400" s="315">
        <f>M400*(1+$D$366)</f>
        <v>0</v>
      </c>
      <c r="O400" s="21"/>
      <c r="P400" s="22"/>
      <c r="Q400"/>
      <c r="R400"/>
      <c r="S400"/>
      <c r="T400"/>
      <c r="U400"/>
      <c r="V400"/>
      <c r="W400"/>
      <c r="X400"/>
    </row>
    <row r="401" spans="2:24">
      <c r="B401" s="20"/>
      <c r="C401" s="256" t="str">
        <f t="shared" si="40"/>
        <v>0/0/0/0</v>
      </c>
      <c r="D401" s="315" t="e">
        <f t="shared" ca="1" si="41"/>
        <v>#NAME?</v>
      </c>
      <c r="E401" s="315">
        <f t="shared" si="42"/>
        <v>0</v>
      </c>
      <c r="F401" s="315">
        <f t="shared" si="43"/>
        <v>0</v>
      </c>
      <c r="G401" s="315" t="e">
        <f t="shared" ref="G401:G407" ca="1" si="45">SUM(D401:F401)</f>
        <v>#NAME?</v>
      </c>
      <c r="H401" s="315">
        <f t="shared" si="44"/>
        <v>0</v>
      </c>
      <c r="I401" s="327"/>
      <c r="J401" s="315">
        <f t="shared" ref="J401:J407" si="46">H401*(1+I401)</f>
        <v>0</v>
      </c>
      <c r="K401" s="315">
        <f t="shared" ref="K401:K407" si="47">M401*0.0114</f>
        <v>0</v>
      </c>
      <c r="L401" s="315">
        <f t="shared" ref="L401:L407" si="48">M401*$E$154</f>
        <v>0</v>
      </c>
      <c r="M401" s="315">
        <f t="shared" ref="M401:M407" si="49">J401/(1-($E$154+0.0114))</f>
        <v>0</v>
      </c>
      <c r="N401" s="315">
        <f t="shared" ref="N401:N407" si="50">M401*(1+$D$366)</f>
        <v>0</v>
      </c>
      <c r="O401" s="21"/>
      <c r="P401" s="22"/>
      <c r="Q401"/>
      <c r="R401"/>
      <c r="S401"/>
      <c r="T401"/>
      <c r="U401"/>
      <c r="V401"/>
      <c r="W401"/>
      <c r="X401"/>
    </row>
    <row r="402" spans="2:24">
      <c r="B402" s="20"/>
      <c r="C402" s="256" t="str">
        <f t="shared" si="40"/>
        <v>0/0/0/0</v>
      </c>
      <c r="D402" s="315" t="e">
        <f t="shared" ca="1" si="41"/>
        <v>#NAME?</v>
      </c>
      <c r="E402" s="315">
        <f t="shared" si="42"/>
        <v>0</v>
      </c>
      <c r="F402" s="315">
        <f t="shared" si="43"/>
        <v>0</v>
      </c>
      <c r="G402" s="315" t="e">
        <f t="shared" ca="1" si="45"/>
        <v>#NAME?</v>
      </c>
      <c r="H402" s="315">
        <f t="shared" si="44"/>
        <v>0</v>
      </c>
      <c r="I402" s="327"/>
      <c r="J402" s="315">
        <f t="shared" si="46"/>
        <v>0</v>
      </c>
      <c r="K402" s="315">
        <f t="shared" si="47"/>
        <v>0</v>
      </c>
      <c r="L402" s="315">
        <f t="shared" si="48"/>
        <v>0</v>
      </c>
      <c r="M402" s="315">
        <f t="shared" si="49"/>
        <v>0</v>
      </c>
      <c r="N402" s="315">
        <f t="shared" si="50"/>
        <v>0</v>
      </c>
      <c r="O402" s="21"/>
      <c r="P402" s="22"/>
      <c r="Q402"/>
      <c r="R402"/>
      <c r="S402"/>
      <c r="T402"/>
      <c r="U402"/>
      <c r="V402"/>
      <c r="W402"/>
      <c r="X402"/>
    </row>
    <row r="403" spans="2:24">
      <c r="B403" s="20"/>
      <c r="C403" s="256" t="str">
        <f t="shared" si="40"/>
        <v>0/0/0/0</v>
      </c>
      <c r="D403" s="315" t="e">
        <f t="shared" ca="1" si="41"/>
        <v>#NAME?</v>
      </c>
      <c r="E403" s="315">
        <f t="shared" si="42"/>
        <v>0</v>
      </c>
      <c r="F403" s="315">
        <f t="shared" si="43"/>
        <v>0</v>
      </c>
      <c r="G403" s="315" t="e">
        <f t="shared" ca="1" si="45"/>
        <v>#NAME?</v>
      </c>
      <c r="H403" s="315">
        <f t="shared" si="44"/>
        <v>0</v>
      </c>
      <c r="I403" s="327"/>
      <c r="J403" s="315">
        <f t="shared" si="46"/>
        <v>0</v>
      </c>
      <c r="K403" s="315">
        <f t="shared" si="47"/>
        <v>0</v>
      </c>
      <c r="L403" s="315">
        <f t="shared" si="48"/>
        <v>0</v>
      </c>
      <c r="M403" s="315">
        <f t="shared" si="49"/>
        <v>0</v>
      </c>
      <c r="N403" s="315">
        <f t="shared" si="50"/>
        <v>0</v>
      </c>
      <c r="O403" s="21"/>
      <c r="P403" s="22"/>
      <c r="Q403"/>
      <c r="R403"/>
      <c r="S403"/>
      <c r="T403"/>
      <c r="U403"/>
      <c r="V403"/>
      <c r="W403"/>
      <c r="X403"/>
    </row>
    <row r="404" spans="2:24">
      <c r="B404" s="20"/>
      <c r="C404" s="256" t="str">
        <f t="shared" si="40"/>
        <v>0/0/0/0</v>
      </c>
      <c r="D404" s="315" t="e">
        <f t="shared" ca="1" si="41"/>
        <v>#NAME?</v>
      </c>
      <c r="E404" s="315">
        <f t="shared" si="42"/>
        <v>0</v>
      </c>
      <c r="F404" s="315">
        <f t="shared" si="43"/>
        <v>0</v>
      </c>
      <c r="G404" s="315" t="e">
        <f t="shared" ca="1" si="45"/>
        <v>#NAME?</v>
      </c>
      <c r="H404" s="315">
        <f t="shared" si="44"/>
        <v>0</v>
      </c>
      <c r="I404" s="327"/>
      <c r="J404" s="315">
        <f t="shared" si="46"/>
        <v>0</v>
      </c>
      <c r="K404" s="315">
        <f t="shared" si="47"/>
        <v>0</v>
      </c>
      <c r="L404" s="315">
        <f t="shared" si="48"/>
        <v>0</v>
      </c>
      <c r="M404" s="315">
        <f t="shared" si="49"/>
        <v>0</v>
      </c>
      <c r="N404" s="315">
        <f t="shared" si="50"/>
        <v>0</v>
      </c>
      <c r="O404" s="21"/>
      <c r="P404" s="22"/>
      <c r="Q404"/>
      <c r="R404"/>
      <c r="S404"/>
      <c r="T404"/>
      <c r="U404"/>
      <c r="V404"/>
      <c r="W404"/>
      <c r="X404"/>
    </row>
    <row r="405" spans="2:24">
      <c r="B405" s="20"/>
      <c r="C405" s="256" t="str">
        <f t="shared" si="40"/>
        <v>0/0/0/0</v>
      </c>
      <c r="D405" s="315" t="e">
        <f t="shared" ca="1" si="41"/>
        <v>#NAME?</v>
      </c>
      <c r="E405" s="315">
        <f t="shared" si="42"/>
        <v>0</v>
      </c>
      <c r="F405" s="315">
        <f t="shared" si="43"/>
        <v>0</v>
      </c>
      <c r="G405" s="315" t="e">
        <f t="shared" ca="1" si="45"/>
        <v>#NAME?</v>
      </c>
      <c r="H405" s="315">
        <f t="shared" si="44"/>
        <v>0</v>
      </c>
      <c r="I405" s="327"/>
      <c r="J405" s="315">
        <f t="shared" si="46"/>
        <v>0</v>
      </c>
      <c r="K405" s="315">
        <f t="shared" si="47"/>
        <v>0</v>
      </c>
      <c r="L405" s="315">
        <f t="shared" si="48"/>
        <v>0</v>
      </c>
      <c r="M405" s="315">
        <f t="shared" si="49"/>
        <v>0</v>
      </c>
      <c r="N405" s="315">
        <f t="shared" si="50"/>
        <v>0</v>
      </c>
      <c r="O405" s="21"/>
      <c r="P405" s="22"/>
      <c r="Q405"/>
      <c r="R405"/>
      <c r="S405"/>
      <c r="T405"/>
      <c r="U405"/>
      <c r="V405"/>
      <c r="W405"/>
      <c r="X405"/>
    </row>
    <row r="406" spans="2:24">
      <c r="B406" s="20"/>
      <c r="C406" s="256" t="str">
        <f t="shared" si="40"/>
        <v>0/0/0/0</v>
      </c>
      <c r="D406" s="315" t="e">
        <f t="shared" ca="1" si="41"/>
        <v>#NAME?</v>
      </c>
      <c r="E406" s="315">
        <f t="shared" si="42"/>
        <v>0</v>
      </c>
      <c r="F406" s="315">
        <f t="shared" si="43"/>
        <v>0</v>
      </c>
      <c r="G406" s="315" t="e">
        <f t="shared" ca="1" si="45"/>
        <v>#NAME?</v>
      </c>
      <c r="H406" s="315">
        <f t="shared" si="44"/>
        <v>0</v>
      </c>
      <c r="I406" s="327"/>
      <c r="J406" s="315">
        <f t="shared" si="46"/>
        <v>0</v>
      </c>
      <c r="K406" s="315">
        <f t="shared" si="47"/>
        <v>0</v>
      </c>
      <c r="L406" s="315">
        <f t="shared" si="48"/>
        <v>0</v>
      </c>
      <c r="M406" s="315">
        <f t="shared" si="49"/>
        <v>0</v>
      </c>
      <c r="N406" s="315">
        <f t="shared" si="50"/>
        <v>0</v>
      </c>
      <c r="O406" s="21"/>
      <c r="P406" s="22"/>
      <c r="Q406"/>
      <c r="R406"/>
      <c r="S406"/>
      <c r="T406"/>
      <c r="U406"/>
      <c r="V406"/>
      <c r="W406"/>
      <c r="X406"/>
    </row>
    <row r="407" spans="2:24">
      <c r="B407" s="20"/>
      <c r="C407" s="256" t="str">
        <f t="shared" si="40"/>
        <v>0/0/0/0</v>
      </c>
      <c r="D407" s="315" t="e">
        <f t="shared" ca="1" si="41"/>
        <v>#NAME?</v>
      </c>
      <c r="E407" s="315">
        <f t="shared" si="42"/>
        <v>0</v>
      </c>
      <c r="F407" s="315">
        <f t="shared" si="43"/>
        <v>0</v>
      </c>
      <c r="G407" s="315" t="e">
        <f t="shared" ca="1" si="45"/>
        <v>#NAME?</v>
      </c>
      <c r="H407" s="315">
        <f t="shared" si="44"/>
        <v>0</v>
      </c>
      <c r="I407" s="327"/>
      <c r="J407" s="315">
        <f t="shared" si="46"/>
        <v>0</v>
      </c>
      <c r="K407" s="315">
        <f t="shared" si="47"/>
        <v>0</v>
      </c>
      <c r="L407" s="315">
        <f t="shared" si="48"/>
        <v>0</v>
      </c>
      <c r="M407" s="315">
        <f t="shared" si="49"/>
        <v>0</v>
      </c>
      <c r="N407" s="315">
        <f t="shared" si="50"/>
        <v>0</v>
      </c>
      <c r="O407" s="21"/>
      <c r="P407" s="22"/>
      <c r="Q407"/>
      <c r="R407"/>
      <c r="S407"/>
      <c r="T407"/>
      <c r="U407"/>
      <c r="V407"/>
      <c r="W407"/>
      <c r="X407"/>
    </row>
    <row r="408" spans="2:24">
      <c r="B408" s="2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21"/>
      <c r="O408" s="21"/>
      <c r="P408" s="22"/>
      <c r="Q408"/>
      <c r="R408"/>
      <c r="S408"/>
      <c r="T408"/>
      <c r="U408"/>
      <c r="V408"/>
      <c r="W408"/>
      <c r="X408"/>
    </row>
    <row r="409" spans="2:24">
      <c r="B409" s="2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21"/>
      <c r="O409" s="21"/>
      <c r="P409" s="22"/>
      <c r="Q409"/>
      <c r="R409"/>
      <c r="S409"/>
      <c r="T409"/>
      <c r="U409"/>
      <c r="V409"/>
      <c r="W409"/>
      <c r="X409"/>
    </row>
    <row r="410" spans="2:24">
      <c r="B410" s="20"/>
      <c r="C410" s="224" t="s">
        <v>3</v>
      </c>
      <c r="D410" s="97" t="str">
        <f>C287</f>
        <v>S5</v>
      </c>
      <c r="E410" s="224" t="s">
        <v>4</v>
      </c>
      <c r="F410" s="250">
        <f>D287</f>
        <v>0</v>
      </c>
      <c r="G410" s="224" t="s">
        <v>132</v>
      </c>
      <c r="H410" s="250">
        <f>E287</f>
        <v>0</v>
      </c>
      <c r="I410" s="60"/>
      <c r="J410" s="60"/>
      <c r="K410" s="60"/>
      <c r="L410" s="60"/>
      <c r="M410" s="60"/>
      <c r="N410" s="60"/>
      <c r="O410" s="21"/>
      <c r="P410" s="22"/>
      <c r="Q410"/>
      <c r="R410"/>
      <c r="S410"/>
      <c r="T410"/>
      <c r="U410"/>
      <c r="V410"/>
      <c r="W410"/>
      <c r="X410"/>
    </row>
    <row r="411" spans="2:24">
      <c r="B411" s="20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21"/>
      <c r="P411" s="22"/>
      <c r="Q411"/>
      <c r="R411"/>
      <c r="S411"/>
      <c r="T411"/>
      <c r="U411"/>
      <c r="V411"/>
      <c r="W411"/>
      <c r="X411"/>
    </row>
    <row r="412" spans="2:24">
      <c r="B412" s="20"/>
      <c r="C412" s="60"/>
      <c r="D412" s="344" t="s">
        <v>290</v>
      </c>
      <c r="E412" s="345"/>
      <c r="F412" s="345"/>
      <c r="G412" s="346"/>
      <c r="H412" s="60"/>
      <c r="I412" s="60"/>
      <c r="J412" s="60"/>
      <c r="K412" s="60"/>
      <c r="L412" s="60"/>
      <c r="M412" s="60"/>
      <c r="N412" s="60"/>
      <c r="O412" s="21"/>
      <c r="P412" s="22"/>
      <c r="Q412"/>
      <c r="R412"/>
      <c r="S412"/>
      <c r="T412"/>
      <c r="U412"/>
      <c r="V412"/>
      <c r="W412"/>
      <c r="X412"/>
    </row>
    <row r="413" spans="2:24" ht="31.5">
      <c r="B413" s="20"/>
      <c r="C413" s="224" t="s">
        <v>123</v>
      </c>
      <c r="D413" s="224" t="s">
        <v>286</v>
      </c>
      <c r="E413" s="224" t="s">
        <v>287</v>
      </c>
      <c r="F413" s="224" t="s">
        <v>288</v>
      </c>
      <c r="G413" s="224" t="s">
        <v>155</v>
      </c>
      <c r="H413" s="224" t="s">
        <v>322</v>
      </c>
      <c r="I413" s="224" t="s">
        <v>291</v>
      </c>
      <c r="J413" s="224" t="s">
        <v>292</v>
      </c>
      <c r="K413" s="224" t="s">
        <v>318</v>
      </c>
      <c r="L413" s="224" t="s">
        <v>319</v>
      </c>
      <c r="M413" s="224" t="s">
        <v>293</v>
      </c>
      <c r="N413" s="224" t="s">
        <v>294</v>
      </c>
      <c r="O413" s="21"/>
      <c r="P413" s="22"/>
      <c r="Q413"/>
      <c r="R413"/>
      <c r="S413"/>
      <c r="T413"/>
      <c r="U413"/>
      <c r="V413"/>
      <c r="W413"/>
      <c r="X413"/>
    </row>
    <row r="414" spans="2:24">
      <c r="B414" s="20"/>
      <c r="C414" s="256" t="str">
        <f t="shared" ref="C414:C421" si="51">CONCATENATE(C291,"/",D291,"/",E291,"/",F291)</f>
        <v>0/0/0/0</v>
      </c>
      <c r="D414" s="315" t="e">
        <f t="shared" ref="D414:D421" ca="1" si="52">J291*$L$238</f>
        <v>#NAME?</v>
      </c>
      <c r="E414" s="315">
        <f t="shared" ref="E414:E421" si="53">IF(K291&gt;0,$M$238,0)</f>
        <v>0</v>
      </c>
      <c r="F414" s="315">
        <f t="shared" ref="F414:F421" si="54">IF(K291&gt;0,($K$287*(1+$L$287)*$M$287)/$K$299,0)</f>
        <v>0</v>
      </c>
      <c r="G414" s="315" t="e">
        <f ca="1">SUM(D414:F414)</f>
        <v>#NAME?</v>
      </c>
      <c r="H414" s="315">
        <f t="shared" ref="H414:H421" si="55">IF(K291&gt;0,G414+$E$378,0)</f>
        <v>0</v>
      </c>
      <c r="I414" s="327"/>
      <c r="J414" s="315">
        <f>H414*(1+I414)</f>
        <v>0</v>
      </c>
      <c r="K414" s="315">
        <f>M414*0.0114</f>
        <v>0</v>
      </c>
      <c r="L414" s="315">
        <f>M414*$E$154</f>
        <v>0</v>
      </c>
      <c r="M414" s="315">
        <f>J414/(1-($E$154+0.0114))</f>
        <v>0</v>
      </c>
      <c r="N414" s="315">
        <f>M414*(1+$D$366)</f>
        <v>0</v>
      </c>
      <c r="O414" s="21"/>
      <c r="P414" s="22"/>
      <c r="Q414"/>
      <c r="R414"/>
      <c r="S414"/>
      <c r="T414"/>
      <c r="U414"/>
      <c r="V414"/>
      <c r="W414"/>
      <c r="X414"/>
    </row>
    <row r="415" spans="2:24">
      <c r="B415" s="20"/>
      <c r="C415" s="256" t="str">
        <f t="shared" si="51"/>
        <v>0/0/0/0</v>
      </c>
      <c r="D415" s="315" t="e">
        <f t="shared" ca="1" si="52"/>
        <v>#NAME?</v>
      </c>
      <c r="E415" s="315">
        <f t="shared" si="53"/>
        <v>0</v>
      </c>
      <c r="F415" s="315">
        <f t="shared" si="54"/>
        <v>0</v>
      </c>
      <c r="G415" s="315" t="e">
        <f t="shared" ref="G415:G421" ca="1" si="56">SUM(D415:F415)</f>
        <v>#NAME?</v>
      </c>
      <c r="H415" s="315">
        <f t="shared" si="55"/>
        <v>0</v>
      </c>
      <c r="I415" s="327"/>
      <c r="J415" s="315">
        <f t="shared" ref="J415:J421" si="57">H415*(1+I415)</f>
        <v>0</v>
      </c>
      <c r="K415" s="315">
        <f t="shared" ref="K415:K421" si="58">M415*0.0114</f>
        <v>0</v>
      </c>
      <c r="L415" s="315">
        <f t="shared" ref="L415:L421" si="59">M415*$E$154</f>
        <v>0</v>
      </c>
      <c r="M415" s="315">
        <f t="shared" ref="M415:M421" si="60">J415/(1-($E$154+0.0114))</f>
        <v>0</v>
      </c>
      <c r="N415" s="315">
        <f t="shared" ref="N415:N421" si="61">M415*(1+$D$366)</f>
        <v>0</v>
      </c>
      <c r="O415" s="21"/>
      <c r="P415" s="22"/>
      <c r="Q415"/>
      <c r="R415"/>
      <c r="S415"/>
      <c r="T415"/>
      <c r="U415"/>
      <c r="V415"/>
      <c r="W415"/>
      <c r="X415"/>
    </row>
    <row r="416" spans="2:24">
      <c r="B416" s="20"/>
      <c r="C416" s="256" t="str">
        <f t="shared" si="51"/>
        <v>0/0/0/0</v>
      </c>
      <c r="D416" s="315" t="e">
        <f t="shared" ca="1" si="52"/>
        <v>#NAME?</v>
      </c>
      <c r="E416" s="315">
        <f t="shared" si="53"/>
        <v>0</v>
      </c>
      <c r="F416" s="315">
        <f t="shared" si="54"/>
        <v>0</v>
      </c>
      <c r="G416" s="315" t="e">
        <f t="shared" ca="1" si="56"/>
        <v>#NAME?</v>
      </c>
      <c r="H416" s="315">
        <f t="shared" si="55"/>
        <v>0</v>
      </c>
      <c r="I416" s="327"/>
      <c r="J416" s="315">
        <f t="shared" si="57"/>
        <v>0</v>
      </c>
      <c r="K416" s="315">
        <f t="shared" si="58"/>
        <v>0</v>
      </c>
      <c r="L416" s="315">
        <f t="shared" si="59"/>
        <v>0</v>
      </c>
      <c r="M416" s="315">
        <f t="shared" si="60"/>
        <v>0</v>
      </c>
      <c r="N416" s="315">
        <f t="shared" si="61"/>
        <v>0</v>
      </c>
      <c r="O416" s="21"/>
      <c r="P416" s="22"/>
      <c r="Q416"/>
      <c r="R416"/>
      <c r="S416"/>
      <c r="T416"/>
      <c r="U416"/>
      <c r="V416"/>
      <c r="W416"/>
      <c r="X416"/>
    </row>
    <row r="417" spans="2:26">
      <c r="B417" s="20"/>
      <c r="C417" s="256" t="str">
        <f t="shared" si="51"/>
        <v>0/0/0/0</v>
      </c>
      <c r="D417" s="315" t="e">
        <f t="shared" ca="1" si="52"/>
        <v>#NAME?</v>
      </c>
      <c r="E417" s="315">
        <f t="shared" si="53"/>
        <v>0</v>
      </c>
      <c r="F417" s="315">
        <f t="shared" si="54"/>
        <v>0</v>
      </c>
      <c r="G417" s="315" t="e">
        <f t="shared" ca="1" si="56"/>
        <v>#NAME?</v>
      </c>
      <c r="H417" s="315">
        <f t="shared" si="55"/>
        <v>0</v>
      </c>
      <c r="I417" s="327"/>
      <c r="J417" s="315">
        <f t="shared" si="57"/>
        <v>0</v>
      </c>
      <c r="K417" s="315">
        <f t="shared" si="58"/>
        <v>0</v>
      </c>
      <c r="L417" s="315">
        <f t="shared" si="59"/>
        <v>0</v>
      </c>
      <c r="M417" s="315">
        <f t="shared" si="60"/>
        <v>0</v>
      </c>
      <c r="N417" s="315">
        <f t="shared" si="61"/>
        <v>0</v>
      </c>
      <c r="O417" s="21"/>
      <c r="P417" s="22"/>
      <c r="Q417"/>
      <c r="R417"/>
      <c r="S417"/>
      <c r="T417"/>
      <c r="U417"/>
      <c r="V417"/>
      <c r="W417"/>
      <c r="X417"/>
    </row>
    <row r="418" spans="2:26">
      <c r="B418" s="20"/>
      <c r="C418" s="256" t="str">
        <f t="shared" si="51"/>
        <v>0/0/0/0</v>
      </c>
      <c r="D418" s="315" t="e">
        <f t="shared" ca="1" si="52"/>
        <v>#NAME?</v>
      </c>
      <c r="E418" s="315">
        <f t="shared" si="53"/>
        <v>0</v>
      </c>
      <c r="F418" s="315">
        <f t="shared" si="54"/>
        <v>0</v>
      </c>
      <c r="G418" s="315" t="e">
        <f t="shared" ca="1" si="56"/>
        <v>#NAME?</v>
      </c>
      <c r="H418" s="315">
        <f t="shared" si="55"/>
        <v>0</v>
      </c>
      <c r="I418" s="327"/>
      <c r="J418" s="315">
        <f t="shared" si="57"/>
        <v>0</v>
      </c>
      <c r="K418" s="315">
        <f t="shared" si="58"/>
        <v>0</v>
      </c>
      <c r="L418" s="315">
        <f t="shared" si="59"/>
        <v>0</v>
      </c>
      <c r="M418" s="315">
        <f t="shared" si="60"/>
        <v>0</v>
      </c>
      <c r="N418" s="315">
        <f t="shared" si="61"/>
        <v>0</v>
      </c>
      <c r="O418" s="21"/>
      <c r="P418" s="22"/>
      <c r="Q418"/>
      <c r="R418"/>
      <c r="S418"/>
      <c r="T418"/>
      <c r="U418"/>
      <c r="V418"/>
      <c r="W418"/>
      <c r="X418"/>
    </row>
    <row r="419" spans="2:26">
      <c r="B419" s="20"/>
      <c r="C419" s="256" t="str">
        <f t="shared" si="51"/>
        <v>0/0/0/0</v>
      </c>
      <c r="D419" s="315" t="e">
        <f t="shared" ca="1" si="52"/>
        <v>#NAME?</v>
      </c>
      <c r="E419" s="315">
        <f t="shared" si="53"/>
        <v>0</v>
      </c>
      <c r="F419" s="315">
        <f t="shared" si="54"/>
        <v>0</v>
      </c>
      <c r="G419" s="315" t="e">
        <f t="shared" ca="1" si="56"/>
        <v>#NAME?</v>
      </c>
      <c r="H419" s="315">
        <f t="shared" si="55"/>
        <v>0</v>
      </c>
      <c r="I419" s="327"/>
      <c r="J419" s="315">
        <f t="shared" si="57"/>
        <v>0</v>
      </c>
      <c r="K419" s="315">
        <f t="shared" si="58"/>
        <v>0</v>
      </c>
      <c r="L419" s="315">
        <f t="shared" si="59"/>
        <v>0</v>
      </c>
      <c r="M419" s="315">
        <f t="shared" si="60"/>
        <v>0</v>
      </c>
      <c r="N419" s="315">
        <f t="shared" si="61"/>
        <v>0</v>
      </c>
      <c r="O419" s="21"/>
      <c r="P419" s="22"/>
      <c r="Q419"/>
      <c r="R419"/>
      <c r="S419"/>
      <c r="T419"/>
      <c r="U419"/>
      <c r="V419"/>
      <c r="W419"/>
      <c r="X419"/>
    </row>
    <row r="420" spans="2:26">
      <c r="B420" s="20"/>
      <c r="C420" s="256" t="str">
        <f t="shared" si="51"/>
        <v>0/0/0/0</v>
      </c>
      <c r="D420" s="315" t="e">
        <f t="shared" ca="1" si="52"/>
        <v>#NAME?</v>
      </c>
      <c r="E420" s="315">
        <f t="shared" si="53"/>
        <v>0</v>
      </c>
      <c r="F420" s="315">
        <f t="shared" si="54"/>
        <v>0</v>
      </c>
      <c r="G420" s="315" t="e">
        <f t="shared" ca="1" si="56"/>
        <v>#NAME?</v>
      </c>
      <c r="H420" s="315">
        <f t="shared" si="55"/>
        <v>0</v>
      </c>
      <c r="I420" s="327"/>
      <c r="J420" s="315">
        <f t="shared" si="57"/>
        <v>0</v>
      </c>
      <c r="K420" s="315">
        <f t="shared" si="58"/>
        <v>0</v>
      </c>
      <c r="L420" s="315">
        <f t="shared" si="59"/>
        <v>0</v>
      </c>
      <c r="M420" s="315">
        <f t="shared" si="60"/>
        <v>0</v>
      </c>
      <c r="N420" s="315">
        <f t="shared" si="61"/>
        <v>0</v>
      </c>
      <c r="O420" s="21"/>
      <c r="P420" s="22"/>
      <c r="Q420"/>
      <c r="R420"/>
      <c r="S420"/>
      <c r="T420"/>
      <c r="U420"/>
      <c r="V420"/>
      <c r="W420"/>
      <c r="X420"/>
    </row>
    <row r="421" spans="2:26">
      <c r="B421" s="20"/>
      <c r="C421" s="256" t="str">
        <f t="shared" si="51"/>
        <v>0/0/0/0</v>
      </c>
      <c r="D421" s="315" t="e">
        <f t="shared" ca="1" si="52"/>
        <v>#NAME?</v>
      </c>
      <c r="E421" s="315">
        <f t="shared" si="53"/>
        <v>0</v>
      </c>
      <c r="F421" s="315">
        <f t="shared" si="54"/>
        <v>0</v>
      </c>
      <c r="G421" s="315" t="e">
        <f t="shared" ca="1" si="56"/>
        <v>#NAME?</v>
      </c>
      <c r="H421" s="315">
        <f t="shared" si="55"/>
        <v>0</v>
      </c>
      <c r="I421" s="327"/>
      <c r="J421" s="315">
        <f t="shared" si="57"/>
        <v>0</v>
      </c>
      <c r="K421" s="315">
        <f t="shared" si="58"/>
        <v>0</v>
      </c>
      <c r="L421" s="315">
        <f t="shared" si="59"/>
        <v>0</v>
      </c>
      <c r="M421" s="315">
        <f t="shared" si="60"/>
        <v>0</v>
      </c>
      <c r="N421" s="315">
        <f t="shared" si="61"/>
        <v>0</v>
      </c>
      <c r="O421" s="21"/>
      <c r="P421" s="22"/>
      <c r="Q421"/>
      <c r="R421"/>
      <c r="S421"/>
      <c r="T421"/>
      <c r="U421"/>
      <c r="V421"/>
      <c r="W421"/>
      <c r="X421"/>
    </row>
    <row r="422" spans="2:26">
      <c r="B422" s="2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21"/>
      <c r="O422" s="21"/>
      <c r="P422" s="22"/>
      <c r="Q422"/>
      <c r="R422"/>
      <c r="S422"/>
      <c r="T422"/>
      <c r="U422"/>
      <c r="V422"/>
      <c r="W422"/>
      <c r="X422"/>
    </row>
    <row r="423" spans="2:26" ht="16.5" thickBot="1">
      <c r="B423" s="44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6"/>
      <c r="Q423"/>
      <c r="R423"/>
      <c r="S423"/>
      <c r="T423"/>
      <c r="U423"/>
      <c r="V423"/>
      <c r="W423"/>
      <c r="X423"/>
      <c r="Y423" s="2"/>
    </row>
    <row r="424" spans="2:26" ht="16.5" thickBot="1"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/>
      <c r="V424"/>
      <c r="W424"/>
      <c r="X424"/>
      <c r="Y424"/>
      <c r="Z424"/>
    </row>
    <row r="425" spans="2:26" ht="27" thickBot="1">
      <c r="B425" s="79" t="s">
        <v>334</v>
      </c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1"/>
      <c r="U425"/>
      <c r="V425"/>
      <c r="W425"/>
      <c r="X425"/>
      <c r="Y425"/>
      <c r="Z425"/>
    </row>
    <row r="426" spans="2:26">
      <c r="B426" s="18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P426" s="40"/>
      <c r="U426"/>
      <c r="V426"/>
      <c r="W426"/>
      <c r="X426"/>
      <c r="Y426"/>
      <c r="Z426"/>
    </row>
    <row r="427" spans="2:26">
      <c r="B427" s="20"/>
      <c r="C427" s="241" t="str">
        <f>C382</f>
        <v>Segmento</v>
      </c>
      <c r="D427" s="257" t="str">
        <f t="shared" ref="D427:H427" si="62">D382</f>
        <v>S3</v>
      </c>
      <c r="E427" s="241" t="str">
        <f t="shared" si="62"/>
        <v>Modelo</v>
      </c>
      <c r="F427" s="257">
        <f t="shared" si="62"/>
        <v>0</v>
      </c>
      <c r="G427" s="241" t="str">
        <f t="shared" si="62"/>
        <v>Planta</v>
      </c>
      <c r="H427" s="257">
        <f t="shared" si="62"/>
        <v>0</v>
      </c>
      <c r="I427" s="21"/>
      <c r="J427" s="21"/>
      <c r="K427" s="21"/>
      <c r="L427" s="21"/>
      <c r="M427" s="21"/>
      <c r="N427" s="21"/>
      <c r="O427" s="21"/>
      <c r="P427" s="22"/>
      <c r="U427"/>
      <c r="V427"/>
      <c r="W427"/>
      <c r="X427"/>
      <c r="Y427"/>
      <c r="Z427"/>
    </row>
    <row r="428" spans="2:26">
      <c r="B428" s="20"/>
      <c r="C428" s="24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2"/>
      <c r="U428"/>
      <c r="V428"/>
      <c r="W428"/>
      <c r="X428"/>
      <c r="Y428"/>
      <c r="Z428"/>
    </row>
    <row r="429" spans="2:26" ht="47.25">
      <c r="B429" s="20"/>
      <c r="C429" s="207" t="s">
        <v>123</v>
      </c>
      <c r="D429" s="207" t="s">
        <v>198</v>
      </c>
      <c r="E429" s="207" t="s">
        <v>153</v>
      </c>
      <c r="F429" s="207" t="s">
        <v>372</v>
      </c>
      <c r="G429" s="207" t="s">
        <v>373</v>
      </c>
      <c r="H429" s="207" t="s">
        <v>290</v>
      </c>
      <c r="I429" s="207" t="s">
        <v>374</v>
      </c>
      <c r="J429" s="207" t="s">
        <v>375</v>
      </c>
      <c r="K429" s="207" t="s">
        <v>330</v>
      </c>
      <c r="L429" s="207" t="s">
        <v>331</v>
      </c>
      <c r="O429" s="21"/>
      <c r="P429" s="22"/>
      <c r="Y429"/>
      <c r="Z429"/>
    </row>
    <row r="430" spans="2:26">
      <c r="B430" s="20"/>
      <c r="C430" s="165" t="str">
        <f>C386</f>
        <v>0/0/0/0</v>
      </c>
      <c r="D430" s="258">
        <f t="shared" ref="D430:D437" si="63">K261</f>
        <v>0</v>
      </c>
      <c r="E430" s="78"/>
      <c r="F430" s="258">
        <f>E430*(N386/(1+$D$366))</f>
        <v>0</v>
      </c>
      <c r="G430" s="258">
        <f t="shared" ref="G430:G437" si="64">E430*L386</f>
        <v>0</v>
      </c>
      <c r="H430" s="258" t="e">
        <f t="shared" ref="H430:H437" ca="1" si="65">E430*G386</f>
        <v>#NAME?</v>
      </c>
      <c r="I430" s="258">
        <f t="shared" ref="I430:I437" si="66">E430*$E$157</f>
        <v>0</v>
      </c>
      <c r="J430" s="258" t="e">
        <f ca="1">F430-G430-H430-I430</f>
        <v>#NAME?</v>
      </c>
      <c r="K430" s="258">
        <f>D430-E430</f>
        <v>0</v>
      </c>
      <c r="L430" s="258" t="e">
        <f t="shared" ref="L430:L437" ca="1" si="67">K430*G386</f>
        <v>#NAME?</v>
      </c>
      <c r="O430" s="21"/>
      <c r="P430" s="22"/>
      <c r="Y430"/>
      <c r="Z430"/>
    </row>
    <row r="431" spans="2:26">
      <c r="B431" s="20"/>
      <c r="C431" s="165" t="str">
        <f t="shared" ref="C431:C437" si="68">C387</f>
        <v>0/0/0/0</v>
      </c>
      <c r="D431" s="258">
        <f t="shared" si="63"/>
        <v>0</v>
      </c>
      <c r="E431" s="78"/>
      <c r="F431" s="258">
        <f t="shared" ref="F431:F437" si="69">E431*(N387/(1+$D$366))</f>
        <v>0</v>
      </c>
      <c r="G431" s="258">
        <f t="shared" si="64"/>
        <v>0</v>
      </c>
      <c r="H431" s="258" t="e">
        <f t="shared" ca="1" si="65"/>
        <v>#NAME?</v>
      </c>
      <c r="I431" s="258">
        <f t="shared" si="66"/>
        <v>0</v>
      </c>
      <c r="J431" s="258" t="e">
        <f t="shared" ref="J431:J437" ca="1" si="70">F431-G431-H431-I431</f>
        <v>#NAME?</v>
      </c>
      <c r="K431" s="258">
        <f t="shared" ref="K431:K437" si="71">D431-E431</f>
        <v>0</v>
      </c>
      <c r="L431" s="258" t="e">
        <f t="shared" ca="1" si="67"/>
        <v>#NAME?</v>
      </c>
      <c r="O431" s="21"/>
      <c r="P431" s="22"/>
      <c r="Y431"/>
      <c r="Z431"/>
    </row>
    <row r="432" spans="2:26">
      <c r="B432" s="20"/>
      <c r="C432" s="165" t="str">
        <f t="shared" si="68"/>
        <v>0/0/0/0</v>
      </c>
      <c r="D432" s="258">
        <f t="shared" si="63"/>
        <v>0</v>
      </c>
      <c r="E432" s="78"/>
      <c r="F432" s="258">
        <f t="shared" si="69"/>
        <v>0</v>
      </c>
      <c r="G432" s="258">
        <f t="shared" si="64"/>
        <v>0</v>
      </c>
      <c r="H432" s="258" t="e">
        <f t="shared" ca="1" si="65"/>
        <v>#NAME?</v>
      </c>
      <c r="I432" s="258">
        <f t="shared" si="66"/>
        <v>0</v>
      </c>
      <c r="J432" s="258" t="e">
        <f t="shared" ca="1" si="70"/>
        <v>#NAME?</v>
      </c>
      <c r="K432" s="258">
        <f t="shared" si="71"/>
        <v>0</v>
      </c>
      <c r="L432" s="258" t="e">
        <f t="shared" ca="1" si="67"/>
        <v>#NAME?</v>
      </c>
      <c r="O432" s="21"/>
      <c r="P432" s="22"/>
      <c r="Y432"/>
      <c r="Z432"/>
    </row>
    <row r="433" spans="2:26">
      <c r="B433" s="20"/>
      <c r="C433" s="165" t="str">
        <f t="shared" si="68"/>
        <v>0/0/0/0</v>
      </c>
      <c r="D433" s="258">
        <f t="shared" si="63"/>
        <v>0</v>
      </c>
      <c r="E433" s="78"/>
      <c r="F433" s="258">
        <f t="shared" si="69"/>
        <v>0</v>
      </c>
      <c r="G433" s="258">
        <f t="shared" si="64"/>
        <v>0</v>
      </c>
      <c r="H433" s="258" t="e">
        <f t="shared" ca="1" si="65"/>
        <v>#NAME?</v>
      </c>
      <c r="I433" s="258">
        <f t="shared" si="66"/>
        <v>0</v>
      </c>
      <c r="J433" s="258" t="e">
        <f t="shared" ca="1" si="70"/>
        <v>#NAME?</v>
      </c>
      <c r="K433" s="258">
        <f t="shared" si="71"/>
        <v>0</v>
      </c>
      <c r="L433" s="258" t="e">
        <f t="shared" ca="1" si="67"/>
        <v>#NAME?</v>
      </c>
      <c r="O433" s="21"/>
      <c r="P433" s="22"/>
      <c r="Y433"/>
      <c r="Z433"/>
    </row>
    <row r="434" spans="2:26">
      <c r="B434" s="20"/>
      <c r="C434" s="165" t="str">
        <f t="shared" si="68"/>
        <v>0/0/0/0</v>
      </c>
      <c r="D434" s="258">
        <f t="shared" si="63"/>
        <v>0</v>
      </c>
      <c r="E434" s="78"/>
      <c r="F434" s="258">
        <f t="shared" si="69"/>
        <v>0</v>
      </c>
      <c r="G434" s="258">
        <f t="shared" si="64"/>
        <v>0</v>
      </c>
      <c r="H434" s="258" t="e">
        <f t="shared" ca="1" si="65"/>
        <v>#NAME?</v>
      </c>
      <c r="I434" s="258">
        <f t="shared" si="66"/>
        <v>0</v>
      </c>
      <c r="J434" s="258" t="e">
        <f t="shared" ca="1" si="70"/>
        <v>#NAME?</v>
      </c>
      <c r="K434" s="258">
        <f t="shared" si="71"/>
        <v>0</v>
      </c>
      <c r="L434" s="258" t="e">
        <f t="shared" ca="1" si="67"/>
        <v>#NAME?</v>
      </c>
      <c r="O434" s="21"/>
      <c r="P434" s="22"/>
      <c r="Y434"/>
      <c r="Z434"/>
    </row>
    <row r="435" spans="2:26">
      <c r="B435" s="20"/>
      <c r="C435" s="165" t="str">
        <f t="shared" si="68"/>
        <v>0/0/0/0</v>
      </c>
      <c r="D435" s="258">
        <f t="shared" si="63"/>
        <v>0</v>
      </c>
      <c r="E435" s="78"/>
      <c r="F435" s="258">
        <f t="shared" si="69"/>
        <v>0</v>
      </c>
      <c r="G435" s="258">
        <f t="shared" si="64"/>
        <v>0</v>
      </c>
      <c r="H435" s="258" t="e">
        <f t="shared" ca="1" si="65"/>
        <v>#NAME?</v>
      </c>
      <c r="I435" s="258">
        <f t="shared" si="66"/>
        <v>0</v>
      </c>
      <c r="J435" s="258" t="e">
        <f t="shared" ca="1" si="70"/>
        <v>#NAME?</v>
      </c>
      <c r="K435" s="258">
        <f t="shared" si="71"/>
        <v>0</v>
      </c>
      <c r="L435" s="258" t="e">
        <f t="shared" ca="1" si="67"/>
        <v>#NAME?</v>
      </c>
      <c r="O435" s="21"/>
      <c r="P435" s="22"/>
      <c r="Y435"/>
      <c r="Z435"/>
    </row>
    <row r="436" spans="2:26">
      <c r="B436" s="20"/>
      <c r="C436" s="165" t="str">
        <f t="shared" si="68"/>
        <v>0/0/0/0</v>
      </c>
      <c r="D436" s="258">
        <f t="shared" si="63"/>
        <v>0</v>
      </c>
      <c r="E436" s="78"/>
      <c r="F436" s="258">
        <f t="shared" si="69"/>
        <v>0</v>
      </c>
      <c r="G436" s="258">
        <f t="shared" si="64"/>
        <v>0</v>
      </c>
      <c r="H436" s="258" t="e">
        <f t="shared" ca="1" si="65"/>
        <v>#NAME?</v>
      </c>
      <c r="I436" s="258">
        <f t="shared" si="66"/>
        <v>0</v>
      </c>
      <c r="J436" s="258" t="e">
        <f t="shared" ca="1" si="70"/>
        <v>#NAME?</v>
      </c>
      <c r="K436" s="258">
        <f t="shared" si="71"/>
        <v>0</v>
      </c>
      <c r="L436" s="258" t="e">
        <f t="shared" ca="1" si="67"/>
        <v>#NAME?</v>
      </c>
      <c r="O436" s="21"/>
      <c r="P436" s="22"/>
      <c r="Y436"/>
      <c r="Z436"/>
    </row>
    <row r="437" spans="2:26">
      <c r="B437" s="20"/>
      <c r="C437" s="165" t="str">
        <f t="shared" si="68"/>
        <v>0/0/0/0</v>
      </c>
      <c r="D437" s="258">
        <f t="shared" si="63"/>
        <v>0</v>
      </c>
      <c r="E437" s="78"/>
      <c r="F437" s="258">
        <f t="shared" si="69"/>
        <v>0</v>
      </c>
      <c r="G437" s="258">
        <f t="shared" si="64"/>
        <v>0</v>
      </c>
      <c r="H437" s="258" t="e">
        <f t="shared" ca="1" si="65"/>
        <v>#NAME?</v>
      </c>
      <c r="I437" s="258">
        <f t="shared" si="66"/>
        <v>0</v>
      </c>
      <c r="J437" s="258" t="e">
        <f t="shared" ca="1" si="70"/>
        <v>#NAME?</v>
      </c>
      <c r="K437" s="258">
        <f t="shared" si="71"/>
        <v>0</v>
      </c>
      <c r="L437" s="258" t="e">
        <f t="shared" ca="1" si="67"/>
        <v>#NAME?</v>
      </c>
      <c r="O437" s="21"/>
      <c r="P437" s="22"/>
      <c r="Y437"/>
      <c r="Z437"/>
    </row>
    <row r="438" spans="2:26">
      <c r="B438" s="20"/>
      <c r="C438" s="169" t="s">
        <v>155</v>
      </c>
      <c r="D438" s="259">
        <f t="shared" ref="D438" si="72">SUM(D430:D437)</f>
        <v>0</v>
      </c>
      <c r="E438" s="259">
        <f>SUM(E430:E437)</f>
        <v>0</v>
      </c>
      <c r="F438" s="259">
        <f t="shared" ref="F438:G438" si="73">SUM(F430:F437)</f>
        <v>0</v>
      </c>
      <c r="G438" s="259">
        <f t="shared" si="73"/>
        <v>0</v>
      </c>
      <c r="H438" s="259" t="e">
        <f t="shared" ref="H438:I438" ca="1" si="74">SUM(H430:H437)</f>
        <v>#NAME?</v>
      </c>
      <c r="I438" s="259">
        <f t="shared" si="74"/>
        <v>0</v>
      </c>
      <c r="J438" s="259" t="e">
        <f t="shared" ref="J438" ca="1" si="75">SUM(J430:J437)</f>
        <v>#NAME?</v>
      </c>
      <c r="K438" s="259">
        <f t="shared" ref="K438:L438" si="76">SUM(K430:K437)</f>
        <v>0</v>
      </c>
      <c r="L438" s="259" t="e">
        <f t="shared" ca="1" si="76"/>
        <v>#NAME?</v>
      </c>
      <c r="O438" s="21"/>
      <c r="P438" s="22"/>
      <c r="Y438"/>
      <c r="Z438"/>
    </row>
    <row r="439" spans="2:26">
      <c r="B439" s="20"/>
      <c r="C439" s="24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2"/>
      <c r="U439"/>
      <c r="V439"/>
      <c r="W439"/>
      <c r="X439"/>
      <c r="Y439"/>
      <c r="Z439"/>
    </row>
    <row r="440" spans="2:26">
      <c r="B440" s="20"/>
      <c r="C440" s="24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2"/>
      <c r="U440"/>
      <c r="V440"/>
      <c r="W440"/>
      <c r="X440"/>
      <c r="Y440"/>
      <c r="Z440"/>
    </row>
    <row r="441" spans="2:26">
      <c r="B441" s="20"/>
      <c r="C441" s="241" t="str">
        <f>C396</f>
        <v>Segmento</v>
      </c>
      <c r="D441" s="257" t="str">
        <f t="shared" ref="D441:H441" si="77">D396</f>
        <v>S4</v>
      </c>
      <c r="E441" s="241" t="str">
        <f t="shared" si="77"/>
        <v>Modelo</v>
      </c>
      <c r="F441" s="257">
        <f t="shared" si="77"/>
        <v>0</v>
      </c>
      <c r="G441" s="241" t="str">
        <f t="shared" si="77"/>
        <v>Planta</v>
      </c>
      <c r="H441" s="257">
        <f t="shared" si="77"/>
        <v>0</v>
      </c>
      <c r="I441" s="21"/>
      <c r="J441" s="21"/>
      <c r="K441" s="21"/>
      <c r="L441" s="21"/>
      <c r="M441" s="21"/>
      <c r="N441"/>
      <c r="O441" s="21"/>
      <c r="P441" s="22"/>
      <c r="U441"/>
      <c r="V441"/>
      <c r="W441"/>
      <c r="X441"/>
      <c r="Y441"/>
      <c r="Z441"/>
    </row>
    <row r="442" spans="2:26">
      <c r="B442" s="20"/>
      <c r="C442" s="24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/>
      <c r="O442" s="21"/>
      <c r="P442" s="22"/>
      <c r="U442"/>
      <c r="V442"/>
      <c r="W442"/>
      <c r="X442"/>
      <c r="Y442"/>
      <c r="Z442"/>
    </row>
    <row r="443" spans="2:26" ht="47.25">
      <c r="B443" s="20"/>
      <c r="C443" s="207" t="s">
        <v>123</v>
      </c>
      <c r="D443" s="207" t="s">
        <v>198</v>
      </c>
      <c r="E443" s="207" t="s">
        <v>153</v>
      </c>
      <c r="F443" s="207" t="s">
        <v>372</v>
      </c>
      <c r="G443" s="207" t="s">
        <v>373</v>
      </c>
      <c r="H443" s="207" t="s">
        <v>290</v>
      </c>
      <c r="I443" s="207" t="s">
        <v>374</v>
      </c>
      <c r="J443" s="207" t="s">
        <v>375</v>
      </c>
      <c r="K443" s="207" t="s">
        <v>330</v>
      </c>
      <c r="L443" s="207" t="s">
        <v>331</v>
      </c>
      <c r="M443"/>
      <c r="N443" s="21"/>
      <c r="P443" s="22"/>
      <c r="T443"/>
      <c r="U443"/>
      <c r="V443"/>
      <c r="W443"/>
      <c r="X443"/>
      <c r="Y443"/>
    </row>
    <row r="444" spans="2:26">
      <c r="B444" s="20"/>
      <c r="C444" s="165" t="str">
        <f>C400</f>
        <v>0/0/0/0</v>
      </c>
      <c r="D444" s="258">
        <f t="shared" ref="D444:D451" si="78">K276</f>
        <v>0</v>
      </c>
      <c r="E444" s="78"/>
      <c r="F444" s="258">
        <f>E444*(N400/(1+$D$366))</f>
        <v>0</v>
      </c>
      <c r="G444" s="258">
        <f>E444*L400</f>
        <v>0</v>
      </c>
      <c r="H444" s="258" t="e">
        <f ca="1">E444*G400</f>
        <v>#NAME?</v>
      </c>
      <c r="I444" s="258">
        <f t="shared" ref="I444:I451" si="79">E444*$E$157</f>
        <v>0</v>
      </c>
      <c r="J444" s="258" t="e">
        <f ca="1">F444-G444-H444-I444</f>
        <v>#NAME?</v>
      </c>
      <c r="K444" s="258">
        <f t="shared" ref="K444:K451" si="80">D444-E444</f>
        <v>0</v>
      </c>
      <c r="L444" s="258" t="e">
        <f t="shared" ref="L444:L451" ca="1" si="81">K444*G400</f>
        <v>#NAME?</v>
      </c>
      <c r="M444"/>
      <c r="N444" s="21"/>
      <c r="P444" s="22"/>
      <c r="T444"/>
      <c r="U444"/>
      <c r="V444"/>
      <c r="W444"/>
      <c r="X444"/>
      <c r="Y444"/>
    </row>
    <row r="445" spans="2:26">
      <c r="B445" s="20"/>
      <c r="C445" s="165" t="str">
        <f t="shared" ref="C445:C451" si="82">C401</f>
        <v>0/0/0/0</v>
      </c>
      <c r="D445" s="258">
        <f t="shared" si="78"/>
        <v>0</v>
      </c>
      <c r="E445" s="78"/>
      <c r="F445" s="258">
        <f t="shared" ref="F445:F451" si="83">E445*(N401/(1+$D$366))</f>
        <v>0</v>
      </c>
      <c r="G445" s="258">
        <f t="shared" ref="G445:G451" si="84">E445*L401</f>
        <v>0</v>
      </c>
      <c r="H445" s="258" t="e">
        <f t="shared" ref="H445:H451" ca="1" si="85">E445*G401</f>
        <v>#NAME?</v>
      </c>
      <c r="I445" s="258">
        <f t="shared" si="79"/>
        <v>0</v>
      </c>
      <c r="J445" s="258" t="e">
        <f t="shared" ref="J445:J451" ca="1" si="86">F445-G445-H445-I445</f>
        <v>#NAME?</v>
      </c>
      <c r="K445" s="258">
        <f t="shared" si="80"/>
        <v>0</v>
      </c>
      <c r="L445" s="258" t="e">
        <f t="shared" ca="1" si="81"/>
        <v>#NAME?</v>
      </c>
      <c r="M445"/>
      <c r="N445" s="21"/>
      <c r="P445" s="22"/>
      <c r="T445"/>
      <c r="U445"/>
      <c r="V445"/>
      <c r="W445"/>
      <c r="X445"/>
      <c r="Y445"/>
    </row>
    <row r="446" spans="2:26">
      <c r="B446" s="20"/>
      <c r="C446" s="165" t="str">
        <f t="shared" si="82"/>
        <v>0/0/0/0</v>
      </c>
      <c r="D446" s="258">
        <f t="shared" si="78"/>
        <v>0</v>
      </c>
      <c r="E446" s="78"/>
      <c r="F446" s="258">
        <f t="shared" si="83"/>
        <v>0</v>
      </c>
      <c r="G446" s="258">
        <f t="shared" si="84"/>
        <v>0</v>
      </c>
      <c r="H446" s="258" t="e">
        <f t="shared" ca="1" si="85"/>
        <v>#NAME?</v>
      </c>
      <c r="I446" s="258">
        <f t="shared" si="79"/>
        <v>0</v>
      </c>
      <c r="J446" s="258" t="e">
        <f t="shared" ca="1" si="86"/>
        <v>#NAME?</v>
      </c>
      <c r="K446" s="258">
        <f t="shared" si="80"/>
        <v>0</v>
      </c>
      <c r="L446" s="258" t="e">
        <f t="shared" ca="1" si="81"/>
        <v>#NAME?</v>
      </c>
      <c r="M446"/>
      <c r="N446" s="21"/>
      <c r="P446" s="22"/>
      <c r="T446"/>
      <c r="U446"/>
      <c r="V446"/>
      <c r="W446"/>
      <c r="X446"/>
      <c r="Y446"/>
    </row>
    <row r="447" spans="2:26">
      <c r="B447" s="20"/>
      <c r="C447" s="165" t="str">
        <f t="shared" si="82"/>
        <v>0/0/0/0</v>
      </c>
      <c r="D447" s="258">
        <f t="shared" si="78"/>
        <v>0</v>
      </c>
      <c r="E447" s="78"/>
      <c r="F447" s="258">
        <f t="shared" si="83"/>
        <v>0</v>
      </c>
      <c r="G447" s="258">
        <f t="shared" si="84"/>
        <v>0</v>
      </c>
      <c r="H447" s="258" t="e">
        <f t="shared" ca="1" si="85"/>
        <v>#NAME?</v>
      </c>
      <c r="I447" s="258">
        <f t="shared" si="79"/>
        <v>0</v>
      </c>
      <c r="J447" s="258" t="e">
        <f t="shared" ca="1" si="86"/>
        <v>#NAME?</v>
      </c>
      <c r="K447" s="258">
        <f t="shared" si="80"/>
        <v>0</v>
      </c>
      <c r="L447" s="258" t="e">
        <f t="shared" ca="1" si="81"/>
        <v>#NAME?</v>
      </c>
      <c r="M447"/>
      <c r="P447" s="22"/>
      <c r="T447"/>
      <c r="U447"/>
      <c r="V447"/>
      <c r="W447"/>
      <c r="X447"/>
      <c r="Y447"/>
    </row>
    <row r="448" spans="2:26">
      <c r="B448" s="20"/>
      <c r="C448" s="165" t="str">
        <f t="shared" si="82"/>
        <v>0/0/0/0</v>
      </c>
      <c r="D448" s="258">
        <f t="shared" si="78"/>
        <v>0</v>
      </c>
      <c r="E448" s="78"/>
      <c r="F448" s="258">
        <f t="shared" si="83"/>
        <v>0</v>
      </c>
      <c r="G448" s="258">
        <f t="shared" si="84"/>
        <v>0</v>
      </c>
      <c r="H448" s="258" t="e">
        <f t="shared" ca="1" si="85"/>
        <v>#NAME?</v>
      </c>
      <c r="I448" s="258">
        <f t="shared" si="79"/>
        <v>0</v>
      </c>
      <c r="J448" s="258" t="e">
        <f t="shared" ca="1" si="86"/>
        <v>#NAME?</v>
      </c>
      <c r="K448" s="258">
        <f t="shared" si="80"/>
        <v>0</v>
      </c>
      <c r="L448" s="258" t="e">
        <f t="shared" ca="1" si="81"/>
        <v>#NAME?</v>
      </c>
      <c r="M448"/>
      <c r="P448" s="22"/>
      <c r="T448"/>
      <c r="U448"/>
      <c r="V448"/>
      <c r="W448"/>
      <c r="X448"/>
      <c r="Y448"/>
    </row>
    <row r="449" spans="2:26">
      <c r="B449" s="20"/>
      <c r="C449" s="165" t="str">
        <f t="shared" si="82"/>
        <v>0/0/0/0</v>
      </c>
      <c r="D449" s="258">
        <f t="shared" si="78"/>
        <v>0</v>
      </c>
      <c r="E449" s="78"/>
      <c r="F449" s="258">
        <f t="shared" si="83"/>
        <v>0</v>
      </c>
      <c r="G449" s="258">
        <f t="shared" si="84"/>
        <v>0</v>
      </c>
      <c r="H449" s="258" t="e">
        <f t="shared" ca="1" si="85"/>
        <v>#NAME?</v>
      </c>
      <c r="I449" s="258">
        <f t="shared" si="79"/>
        <v>0</v>
      </c>
      <c r="J449" s="258" t="e">
        <f t="shared" ca="1" si="86"/>
        <v>#NAME?</v>
      </c>
      <c r="K449" s="258">
        <f t="shared" si="80"/>
        <v>0</v>
      </c>
      <c r="L449" s="258" t="e">
        <f t="shared" ca="1" si="81"/>
        <v>#NAME?</v>
      </c>
      <c r="M449"/>
      <c r="P449" s="22"/>
      <c r="T449"/>
      <c r="U449"/>
      <c r="V449"/>
      <c r="W449"/>
      <c r="X449"/>
      <c r="Y449"/>
    </row>
    <row r="450" spans="2:26">
      <c r="B450" s="20"/>
      <c r="C450" s="165" t="str">
        <f t="shared" si="82"/>
        <v>0/0/0/0</v>
      </c>
      <c r="D450" s="258">
        <f t="shared" si="78"/>
        <v>0</v>
      </c>
      <c r="E450" s="78"/>
      <c r="F450" s="258">
        <f t="shared" si="83"/>
        <v>0</v>
      </c>
      <c r="G450" s="258">
        <f t="shared" si="84"/>
        <v>0</v>
      </c>
      <c r="H450" s="258" t="e">
        <f t="shared" ca="1" si="85"/>
        <v>#NAME?</v>
      </c>
      <c r="I450" s="258">
        <f t="shared" si="79"/>
        <v>0</v>
      </c>
      <c r="J450" s="258" t="e">
        <f t="shared" ca="1" si="86"/>
        <v>#NAME?</v>
      </c>
      <c r="K450" s="258">
        <f t="shared" si="80"/>
        <v>0</v>
      </c>
      <c r="L450" s="258" t="e">
        <f t="shared" ca="1" si="81"/>
        <v>#NAME?</v>
      </c>
      <c r="M450"/>
      <c r="P450" s="22"/>
      <c r="T450"/>
      <c r="U450"/>
      <c r="V450"/>
      <c r="W450"/>
      <c r="X450"/>
      <c r="Y450"/>
    </row>
    <row r="451" spans="2:26">
      <c r="B451" s="20"/>
      <c r="C451" s="165" t="str">
        <f t="shared" si="82"/>
        <v>0/0/0/0</v>
      </c>
      <c r="D451" s="258">
        <f t="shared" si="78"/>
        <v>0</v>
      </c>
      <c r="E451" s="78"/>
      <c r="F451" s="258">
        <f t="shared" si="83"/>
        <v>0</v>
      </c>
      <c r="G451" s="258">
        <f t="shared" si="84"/>
        <v>0</v>
      </c>
      <c r="H451" s="258" t="e">
        <f t="shared" ca="1" si="85"/>
        <v>#NAME?</v>
      </c>
      <c r="I451" s="258">
        <f t="shared" si="79"/>
        <v>0</v>
      </c>
      <c r="J451" s="258" t="e">
        <f t="shared" ca="1" si="86"/>
        <v>#NAME?</v>
      </c>
      <c r="K451" s="258">
        <f t="shared" si="80"/>
        <v>0</v>
      </c>
      <c r="L451" s="258" t="e">
        <f t="shared" ca="1" si="81"/>
        <v>#NAME?</v>
      </c>
      <c r="M451"/>
      <c r="P451" s="22"/>
      <c r="T451"/>
      <c r="U451"/>
      <c r="V451"/>
      <c r="W451"/>
      <c r="Y451"/>
      <c r="Z451"/>
    </row>
    <row r="452" spans="2:26">
      <c r="B452" s="20"/>
      <c r="C452" s="169" t="s">
        <v>155</v>
      </c>
      <c r="D452" s="259">
        <f t="shared" ref="D452" si="87">SUM(D444:D451)</f>
        <v>0</v>
      </c>
      <c r="E452" s="259">
        <f>SUM(E444:E451)</f>
        <v>0</v>
      </c>
      <c r="F452" s="259">
        <f t="shared" ref="F452:L452" si="88">SUM(F444:F451)</f>
        <v>0</v>
      </c>
      <c r="G452" s="259">
        <f t="shared" si="88"/>
        <v>0</v>
      </c>
      <c r="H452" s="259" t="e">
        <f t="shared" ca="1" si="88"/>
        <v>#NAME?</v>
      </c>
      <c r="I452" s="259">
        <f t="shared" si="88"/>
        <v>0</v>
      </c>
      <c r="J452" s="259" t="e">
        <f t="shared" ca="1" si="88"/>
        <v>#NAME?</v>
      </c>
      <c r="K452" s="259">
        <f t="shared" si="88"/>
        <v>0</v>
      </c>
      <c r="L452" s="259" t="e">
        <f t="shared" ca="1" si="88"/>
        <v>#NAME?</v>
      </c>
      <c r="M452"/>
      <c r="P452" s="22"/>
      <c r="T452"/>
      <c r="U452"/>
      <c r="V452"/>
      <c r="W452"/>
      <c r="Y452"/>
      <c r="Z452"/>
    </row>
    <row r="453" spans="2:26">
      <c r="B453" s="20"/>
      <c r="C453" s="24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/>
      <c r="P453" s="22"/>
      <c r="U453"/>
      <c r="V453"/>
      <c r="W453"/>
      <c r="X453"/>
      <c r="Z453"/>
    </row>
    <row r="454" spans="2:26">
      <c r="B454" s="20"/>
      <c r="C454" s="24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/>
      <c r="P454" s="22"/>
      <c r="U454"/>
      <c r="V454"/>
      <c r="W454"/>
      <c r="X454"/>
      <c r="Z454"/>
    </row>
    <row r="455" spans="2:26">
      <c r="B455" s="20"/>
      <c r="C455" s="241" t="str">
        <f>C410</f>
        <v>Segmento</v>
      </c>
      <c r="D455" s="257" t="str">
        <f t="shared" ref="D455:H455" si="89">D410</f>
        <v>S5</v>
      </c>
      <c r="E455" s="241" t="str">
        <f t="shared" si="89"/>
        <v>Modelo</v>
      </c>
      <c r="F455" s="257">
        <f t="shared" si="89"/>
        <v>0</v>
      </c>
      <c r="G455" s="241" t="str">
        <f t="shared" si="89"/>
        <v>Planta</v>
      </c>
      <c r="H455" s="257">
        <f t="shared" si="89"/>
        <v>0</v>
      </c>
      <c r="I455" s="21"/>
      <c r="J455" s="21"/>
      <c r="K455" s="21"/>
      <c r="L455" s="21"/>
      <c r="M455" s="21"/>
      <c r="N455"/>
      <c r="P455" s="22"/>
      <c r="U455"/>
      <c r="V455"/>
      <c r="W455"/>
      <c r="X455"/>
      <c r="Z455"/>
    </row>
    <row r="456" spans="2:26">
      <c r="B456" s="20"/>
      <c r="C456" s="24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/>
      <c r="P456" s="22"/>
      <c r="U456"/>
      <c r="V456"/>
      <c r="W456"/>
      <c r="X456"/>
      <c r="Z456"/>
    </row>
    <row r="457" spans="2:26" ht="47.25">
      <c r="B457" s="20"/>
      <c r="C457" s="207" t="s">
        <v>123</v>
      </c>
      <c r="D457" s="207" t="s">
        <v>198</v>
      </c>
      <c r="E457" s="207" t="s">
        <v>153</v>
      </c>
      <c r="F457" s="207" t="s">
        <v>372</v>
      </c>
      <c r="G457" s="207" t="s">
        <v>373</v>
      </c>
      <c r="H457" s="207" t="s">
        <v>290</v>
      </c>
      <c r="I457" s="207" t="s">
        <v>374</v>
      </c>
      <c r="J457" s="207" t="s">
        <v>375</v>
      </c>
      <c r="K457" s="207" t="s">
        <v>330</v>
      </c>
      <c r="L457" s="207" t="s">
        <v>331</v>
      </c>
      <c r="M457"/>
      <c r="P457" s="22"/>
      <c r="T457"/>
      <c r="U457"/>
      <c r="V457"/>
      <c r="W457"/>
      <c r="Y457"/>
      <c r="Z457"/>
    </row>
    <row r="458" spans="2:26">
      <c r="B458" s="20"/>
      <c r="C458" s="165" t="str">
        <f>C414</f>
        <v>0/0/0/0</v>
      </c>
      <c r="D458" s="258">
        <f t="shared" ref="D458:D465" si="90">K291</f>
        <v>0</v>
      </c>
      <c r="E458" s="78"/>
      <c r="F458" s="258">
        <f>E458*(N414/(1+$D$366))</f>
        <v>0</v>
      </c>
      <c r="G458" s="258">
        <f>E458*L414</f>
        <v>0</v>
      </c>
      <c r="H458" s="258" t="e">
        <f ca="1">E458*G414</f>
        <v>#NAME?</v>
      </c>
      <c r="I458" s="258">
        <f t="shared" ref="I458:I465" si="91">E458*$E$157</f>
        <v>0</v>
      </c>
      <c r="J458" s="258" t="e">
        <f t="shared" ref="J458:J465" ca="1" si="92">F458-G458-H458-I458</f>
        <v>#NAME?</v>
      </c>
      <c r="K458" s="258">
        <f t="shared" ref="K458:K465" si="93">D458-E458</f>
        <v>0</v>
      </c>
      <c r="L458" s="258" t="e">
        <f t="shared" ref="L458:L465" ca="1" si="94">K458*G414</f>
        <v>#NAME?</v>
      </c>
      <c r="M458"/>
      <c r="P458" s="22"/>
      <c r="T458"/>
      <c r="U458"/>
      <c r="V458"/>
      <c r="W458"/>
      <c r="Y458"/>
      <c r="Z458"/>
    </row>
    <row r="459" spans="2:26">
      <c r="B459" s="20"/>
      <c r="C459" s="165" t="str">
        <f t="shared" ref="C459:C465" si="95">C415</f>
        <v>0/0/0/0</v>
      </c>
      <c r="D459" s="258">
        <f t="shared" si="90"/>
        <v>0</v>
      </c>
      <c r="E459" s="78"/>
      <c r="F459" s="258">
        <f t="shared" ref="F459:F465" si="96">E459*(N415/(1+$D$366))</f>
        <v>0</v>
      </c>
      <c r="G459" s="258">
        <f t="shared" ref="G459:G465" si="97">E459*L415</f>
        <v>0</v>
      </c>
      <c r="H459" s="258" t="e">
        <f t="shared" ref="H459:H465" ca="1" si="98">E459*G415</f>
        <v>#NAME?</v>
      </c>
      <c r="I459" s="258">
        <f t="shared" si="91"/>
        <v>0</v>
      </c>
      <c r="J459" s="258" t="e">
        <f t="shared" ca="1" si="92"/>
        <v>#NAME?</v>
      </c>
      <c r="K459" s="258">
        <f t="shared" si="93"/>
        <v>0</v>
      </c>
      <c r="L459" s="258" t="e">
        <f t="shared" ca="1" si="94"/>
        <v>#NAME?</v>
      </c>
      <c r="M459"/>
      <c r="P459" s="22"/>
      <c r="T459"/>
      <c r="U459"/>
      <c r="V459"/>
      <c r="W459"/>
      <c r="Y459"/>
      <c r="Z459"/>
    </row>
    <row r="460" spans="2:26">
      <c r="B460" s="20"/>
      <c r="C460" s="165" t="str">
        <f t="shared" si="95"/>
        <v>0/0/0/0</v>
      </c>
      <c r="D460" s="258">
        <f t="shared" si="90"/>
        <v>0</v>
      </c>
      <c r="E460" s="78"/>
      <c r="F460" s="258">
        <f t="shared" si="96"/>
        <v>0</v>
      </c>
      <c r="G460" s="258">
        <f t="shared" si="97"/>
        <v>0</v>
      </c>
      <c r="H460" s="258" t="e">
        <f t="shared" ca="1" si="98"/>
        <v>#NAME?</v>
      </c>
      <c r="I460" s="258">
        <f t="shared" si="91"/>
        <v>0</v>
      </c>
      <c r="J460" s="258" t="e">
        <f t="shared" ca="1" si="92"/>
        <v>#NAME?</v>
      </c>
      <c r="K460" s="258">
        <f t="shared" si="93"/>
        <v>0</v>
      </c>
      <c r="L460" s="258" t="e">
        <f t="shared" ca="1" si="94"/>
        <v>#NAME?</v>
      </c>
      <c r="M460"/>
      <c r="P460" s="22"/>
      <c r="T460"/>
      <c r="U460"/>
      <c r="V460"/>
      <c r="W460"/>
      <c r="Y460"/>
      <c r="Z460"/>
    </row>
    <row r="461" spans="2:26">
      <c r="B461" s="20"/>
      <c r="C461" s="165" t="str">
        <f t="shared" si="95"/>
        <v>0/0/0/0</v>
      </c>
      <c r="D461" s="258">
        <f t="shared" si="90"/>
        <v>0</v>
      </c>
      <c r="E461" s="78"/>
      <c r="F461" s="258">
        <f t="shared" si="96"/>
        <v>0</v>
      </c>
      <c r="G461" s="258">
        <f t="shared" si="97"/>
        <v>0</v>
      </c>
      <c r="H461" s="258" t="e">
        <f t="shared" ca="1" si="98"/>
        <v>#NAME?</v>
      </c>
      <c r="I461" s="258">
        <f t="shared" si="91"/>
        <v>0</v>
      </c>
      <c r="J461" s="258" t="e">
        <f t="shared" ca="1" si="92"/>
        <v>#NAME?</v>
      </c>
      <c r="K461" s="258">
        <f t="shared" si="93"/>
        <v>0</v>
      </c>
      <c r="L461" s="258" t="e">
        <f t="shared" ca="1" si="94"/>
        <v>#NAME?</v>
      </c>
      <c r="M461"/>
      <c r="P461" s="22"/>
      <c r="T461"/>
      <c r="U461"/>
      <c r="V461"/>
      <c r="W461"/>
      <c r="Y461"/>
      <c r="Z461"/>
    </row>
    <row r="462" spans="2:26">
      <c r="B462" s="20"/>
      <c r="C462" s="165" t="str">
        <f t="shared" si="95"/>
        <v>0/0/0/0</v>
      </c>
      <c r="D462" s="258">
        <f t="shared" si="90"/>
        <v>0</v>
      </c>
      <c r="E462" s="78"/>
      <c r="F462" s="258">
        <f t="shared" si="96"/>
        <v>0</v>
      </c>
      <c r="G462" s="258">
        <f t="shared" si="97"/>
        <v>0</v>
      </c>
      <c r="H462" s="258" t="e">
        <f t="shared" ca="1" si="98"/>
        <v>#NAME?</v>
      </c>
      <c r="I462" s="258">
        <f t="shared" si="91"/>
        <v>0</v>
      </c>
      <c r="J462" s="258" t="e">
        <f t="shared" ca="1" si="92"/>
        <v>#NAME?</v>
      </c>
      <c r="K462" s="258">
        <f t="shared" si="93"/>
        <v>0</v>
      </c>
      <c r="L462" s="258" t="e">
        <f t="shared" ca="1" si="94"/>
        <v>#NAME?</v>
      </c>
      <c r="M462"/>
      <c r="P462" s="22"/>
      <c r="T462"/>
      <c r="U462"/>
      <c r="V462"/>
      <c r="W462"/>
      <c r="Y462"/>
      <c r="Z462"/>
    </row>
    <row r="463" spans="2:26">
      <c r="B463" s="20"/>
      <c r="C463" s="165" t="str">
        <f t="shared" si="95"/>
        <v>0/0/0/0</v>
      </c>
      <c r="D463" s="258">
        <f t="shared" si="90"/>
        <v>0</v>
      </c>
      <c r="E463" s="78"/>
      <c r="F463" s="258">
        <f t="shared" si="96"/>
        <v>0</v>
      </c>
      <c r="G463" s="258">
        <f t="shared" si="97"/>
        <v>0</v>
      </c>
      <c r="H463" s="258" t="e">
        <f t="shared" ca="1" si="98"/>
        <v>#NAME?</v>
      </c>
      <c r="I463" s="258">
        <f t="shared" si="91"/>
        <v>0</v>
      </c>
      <c r="J463" s="258" t="e">
        <f t="shared" ca="1" si="92"/>
        <v>#NAME?</v>
      </c>
      <c r="K463" s="258">
        <f t="shared" si="93"/>
        <v>0</v>
      </c>
      <c r="L463" s="258" t="e">
        <f t="shared" ca="1" si="94"/>
        <v>#NAME?</v>
      </c>
      <c r="M463"/>
      <c r="P463" s="22"/>
      <c r="T463"/>
      <c r="U463"/>
      <c r="V463"/>
      <c r="W463"/>
      <c r="Y463"/>
      <c r="Z463"/>
    </row>
    <row r="464" spans="2:26">
      <c r="B464" s="20"/>
      <c r="C464" s="165" t="str">
        <f t="shared" si="95"/>
        <v>0/0/0/0</v>
      </c>
      <c r="D464" s="258">
        <f t="shared" si="90"/>
        <v>0</v>
      </c>
      <c r="E464" s="78"/>
      <c r="F464" s="258">
        <f t="shared" si="96"/>
        <v>0</v>
      </c>
      <c r="G464" s="258">
        <f t="shared" si="97"/>
        <v>0</v>
      </c>
      <c r="H464" s="258" t="e">
        <f t="shared" ca="1" si="98"/>
        <v>#NAME?</v>
      </c>
      <c r="I464" s="258">
        <f t="shared" si="91"/>
        <v>0</v>
      </c>
      <c r="J464" s="258" t="e">
        <f t="shared" ca="1" si="92"/>
        <v>#NAME?</v>
      </c>
      <c r="K464" s="258">
        <f t="shared" si="93"/>
        <v>0</v>
      </c>
      <c r="L464" s="258" t="e">
        <f t="shared" ca="1" si="94"/>
        <v>#NAME?</v>
      </c>
      <c r="M464"/>
      <c r="P464" s="22"/>
      <c r="T464"/>
      <c r="U464"/>
      <c r="V464"/>
      <c r="W464"/>
      <c r="Y464"/>
      <c r="Z464"/>
    </row>
    <row r="465" spans="2:26">
      <c r="B465" s="20"/>
      <c r="C465" s="165" t="str">
        <f t="shared" si="95"/>
        <v>0/0/0/0</v>
      </c>
      <c r="D465" s="258">
        <f t="shared" si="90"/>
        <v>0</v>
      </c>
      <c r="E465" s="78"/>
      <c r="F465" s="258">
        <f t="shared" si="96"/>
        <v>0</v>
      </c>
      <c r="G465" s="258">
        <f t="shared" si="97"/>
        <v>0</v>
      </c>
      <c r="H465" s="258" t="e">
        <f t="shared" ca="1" si="98"/>
        <v>#NAME?</v>
      </c>
      <c r="I465" s="258">
        <f t="shared" si="91"/>
        <v>0</v>
      </c>
      <c r="J465" s="258" t="e">
        <f t="shared" ca="1" si="92"/>
        <v>#NAME?</v>
      </c>
      <c r="K465" s="258">
        <f t="shared" si="93"/>
        <v>0</v>
      </c>
      <c r="L465" s="258" t="e">
        <f t="shared" ca="1" si="94"/>
        <v>#NAME?</v>
      </c>
      <c r="M465"/>
      <c r="P465" s="22"/>
      <c r="T465"/>
      <c r="U465"/>
      <c r="V465"/>
      <c r="W465"/>
      <c r="Y465"/>
      <c r="Z465"/>
    </row>
    <row r="466" spans="2:26">
      <c r="B466" s="20"/>
      <c r="C466" s="169" t="s">
        <v>155</v>
      </c>
      <c r="D466" s="259">
        <f t="shared" ref="D466" si="99">SUM(D458:D465)</f>
        <v>0</v>
      </c>
      <c r="E466" s="259">
        <f>SUM(E458:E465)</f>
        <v>0</v>
      </c>
      <c r="F466" s="259">
        <f t="shared" ref="F466:L466" si="100">SUM(F458:F465)</f>
        <v>0</v>
      </c>
      <c r="G466" s="259">
        <f t="shared" si="100"/>
        <v>0</v>
      </c>
      <c r="H466" s="259" t="e">
        <f t="shared" ca="1" si="100"/>
        <v>#NAME?</v>
      </c>
      <c r="I466" s="259">
        <f t="shared" si="100"/>
        <v>0</v>
      </c>
      <c r="J466" s="259" t="e">
        <f t="shared" ca="1" si="100"/>
        <v>#NAME?</v>
      </c>
      <c r="K466" s="259">
        <f t="shared" si="100"/>
        <v>0</v>
      </c>
      <c r="L466" s="259" t="e">
        <f t="shared" ca="1" si="100"/>
        <v>#NAME?</v>
      </c>
      <c r="M466"/>
      <c r="P466" s="22"/>
      <c r="T466"/>
      <c r="U466"/>
      <c r="V466"/>
      <c r="W466"/>
      <c r="Y466"/>
      <c r="Z466"/>
    </row>
    <row r="467" spans="2:26">
      <c r="B467" s="20"/>
      <c r="C467" s="24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/>
      <c r="P467" s="22"/>
      <c r="U467"/>
      <c r="V467"/>
      <c r="W467"/>
      <c r="X467"/>
      <c r="Z467"/>
    </row>
    <row r="468" spans="2:26">
      <c r="B468" s="20"/>
      <c r="P468" s="22"/>
      <c r="U468"/>
      <c r="V468"/>
      <c r="W468"/>
      <c r="X468"/>
      <c r="Z468"/>
    </row>
    <row r="469" spans="2:26">
      <c r="B469" s="20"/>
      <c r="C469" s="242"/>
      <c r="D469" s="243"/>
      <c r="E469" s="243"/>
      <c r="F469" s="243"/>
      <c r="G469" s="232" t="s">
        <v>336</v>
      </c>
      <c r="H469" s="243"/>
      <c r="I469" s="243"/>
      <c r="J469" s="243"/>
      <c r="K469" s="244"/>
      <c r="P469" s="22"/>
      <c r="U469"/>
      <c r="V469"/>
      <c r="W469"/>
      <c r="X469"/>
      <c r="Z469"/>
    </row>
    <row r="470" spans="2:26" ht="47.25">
      <c r="B470" s="20"/>
      <c r="C470" s="207" t="s">
        <v>198</v>
      </c>
      <c r="D470" s="207" t="s">
        <v>153</v>
      </c>
      <c r="E470" s="207" t="s">
        <v>372</v>
      </c>
      <c r="F470" s="207" t="s">
        <v>373</v>
      </c>
      <c r="G470" s="207" t="s">
        <v>290</v>
      </c>
      <c r="H470" s="207" t="s">
        <v>374</v>
      </c>
      <c r="I470" s="207" t="s">
        <v>375</v>
      </c>
      <c r="J470" s="207" t="s">
        <v>330</v>
      </c>
      <c r="K470" s="207" t="s">
        <v>331</v>
      </c>
      <c r="P470" s="22"/>
      <c r="V470"/>
      <c r="W470"/>
      <c r="X470"/>
      <c r="Z470"/>
    </row>
    <row r="471" spans="2:26">
      <c r="B471" s="20"/>
      <c r="C471" s="155">
        <f t="shared" ref="C471:K471" si="101">D438+D452+D466</f>
        <v>0</v>
      </c>
      <c r="D471" s="155">
        <f t="shared" si="101"/>
        <v>0</v>
      </c>
      <c r="E471" s="155">
        <f t="shared" si="101"/>
        <v>0</v>
      </c>
      <c r="F471" s="155">
        <f t="shared" si="101"/>
        <v>0</v>
      </c>
      <c r="G471" s="155" t="e">
        <f t="shared" ca="1" si="101"/>
        <v>#NAME?</v>
      </c>
      <c r="H471" s="155">
        <f t="shared" si="101"/>
        <v>0</v>
      </c>
      <c r="I471" s="155" t="e">
        <f t="shared" ca="1" si="101"/>
        <v>#NAME?</v>
      </c>
      <c r="J471" s="155">
        <f t="shared" si="101"/>
        <v>0</v>
      </c>
      <c r="K471" s="155" t="e">
        <f t="shared" ca="1" si="101"/>
        <v>#NAME?</v>
      </c>
      <c r="P471" s="22"/>
      <c r="V471"/>
      <c r="W471"/>
      <c r="X471"/>
      <c r="Z471"/>
    </row>
    <row r="472" spans="2:26">
      <c r="B472" s="20"/>
      <c r="P472" s="22"/>
      <c r="U472"/>
      <c r="V472"/>
      <c r="W472"/>
      <c r="X472"/>
      <c r="Z472"/>
    </row>
    <row r="473" spans="2:26" ht="16.5" thickBot="1">
      <c r="B473" s="44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6"/>
      <c r="U473"/>
      <c r="V473"/>
      <c r="W473"/>
      <c r="X473"/>
      <c r="Y473"/>
      <c r="Z473"/>
    </row>
    <row r="474" spans="2:26" ht="16.5" thickBot="1"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</row>
    <row r="475" spans="2:26" ht="27" thickBot="1">
      <c r="B475" s="79" t="s">
        <v>111</v>
      </c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1"/>
    </row>
    <row r="476" spans="2:26" ht="16.5" thickBot="1">
      <c r="B476" s="18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40"/>
    </row>
    <row r="477" spans="2:26" ht="21.75" thickBot="1">
      <c r="B477" s="20"/>
      <c r="C477" s="83" t="s">
        <v>44</v>
      </c>
      <c r="D477" s="84"/>
      <c r="E477" s="84"/>
      <c r="F477" s="84"/>
      <c r="G477" s="84"/>
      <c r="H477" s="85"/>
      <c r="I477" s="2"/>
      <c r="J477" s="83" t="s">
        <v>43</v>
      </c>
      <c r="K477" s="84"/>
      <c r="L477" s="84"/>
      <c r="M477" s="84"/>
      <c r="N477" s="84"/>
      <c r="O477" s="85"/>
      <c r="P477" s="22"/>
    </row>
    <row r="478" spans="2:26">
      <c r="B478" s="20"/>
      <c r="C478" s="33"/>
      <c r="D478" s="34"/>
      <c r="E478" s="34"/>
      <c r="F478" s="34"/>
      <c r="G478" s="34"/>
      <c r="H478" s="35"/>
      <c r="I478" s="2"/>
      <c r="J478" s="33"/>
      <c r="K478" s="34"/>
      <c r="L478" s="34"/>
      <c r="M478" s="34"/>
      <c r="N478" s="34"/>
      <c r="O478" s="35"/>
      <c r="P478" s="22"/>
    </row>
    <row r="479" spans="2:26">
      <c r="B479" s="20"/>
      <c r="C479" s="10" t="s">
        <v>45</v>
      </c>
      <c r="D479" s="5"/>
      <c r="E479" s="5"/>
      <c r="F479" s="5"/>
      <c r="G479" s="269"/>
      <c r="H479" s="270">
        <f>G480+G482</f>
        <v>0</v>
      </c>
      <c r="I479" s="2"/>
      <c r="J479" s="176" t="s">
        <v>20</v>
      </c>
      <c r="K479" s="177"/>
      <c r="L479" s="177"/>
      <c r="M479" s="177"/>
      <c r="N479" s="177"/>
      <c r="O479" s="180"/>
      <c r="P479" s="22"/>
    </row>
    <row r="480" spans="2:26">
      <c r="B480" s="20"/>
      <c r="C480" s="1"/>
      <c r="D480" s="2" t="s">
        <v>46</v>
      </c>
      <c r="E480" s="2"/>
      <c r="F480" s="2"/>
      <c r="G480" s="271">
        <f>E471</f>
        <v>0</v>
      </c>
      <c r="H480" s="272"/>
      <c r="I480" s="2"/>
      <c r="J480" s="16" t="s">
        <v>238</v>
      </c>
      <c r="K480" s="2"/>
      <c r="L480" s="2"/>
      <c r="M480" s="2"/>
      <c r="N480" s="2"/>
      <c r="O480" s="3"/>
      <c r="P480" s="22"/>
    </row>
    <row r="481" spans="2:26">
      <c r="B481" s="20"/>
      <c r="C481" s="1"/>
      <c r="D481" s="2" t="s">
        <v>47</v>
      </c>
      <c r="E481" s="2"/>
      <c r="F481" s="2"/>
      <c r="G481" s="271">
        <f>F471</f>
        <v>0</v>
      </c>
      <c r="H481" s="272"/>
      <c r="I481" s="2"/>
      <c r="J481" s="1" t="s">
        <v>21</v>
      </c>
      <c r="K481" s="2"/>
      <c r="L481" s="2"/>
      <c r="M481" s="2"/>
      <c r="N481" s="271"/>
      <c r="O481" s="272" t="e">
        <f ca="1">N545</f>
        <v>#NAME?</v>
      </c>
      <c r="P481" s="22"/>
    </row>
    <row r="482" spans="2:26">
      <c r="B482" s="20"/>
      <c r="C482" s="1"/>
      <c r="D482" s="2" t="s">
        <v>48</v>
      </c>
      <c r="E482" s="2"/>
      <c r="F482" s="2"/>
      <c r="G482" s="271">
        <f>(G480*0.023)</f>
        <v>0</v>
      </c>
      <c r="H482" s="272"/>
      <c r="I482" s="2"/>
      <c r="J482" s="1" t="s">
        <v>196</v>
      </c>
      <c r="K482" s="2"/>
      <c r="L482" s="2"/>
      <c r="M482" s="2"/>
      <c r="N482" s="271"/>
      <c r="O482" s="272">
        <f>IF(AND(F349="Sí",G349=0),0,E349-G349)</f>
        <v>0</v>
      </c>
      <c r="P482" s="22"/>
    </row>
    <row r="483" spans="2:26">
      <c r="B483" s="20"/>
      <c r="C483" s="10" t="s">
        <v>49</v>
      </c>
      <c r="D483" s="5"/>
      <c r="E483" s="5"/>
      <c r="F483" s="5"/>
      <c r="G483" s="269"/>
      <c r="H483" s="270">
        <f>H479-G481</f>
        <v>0</v>
      </c>
      <c r="I483" s="2"/>
      <c r="J483" s="1" t="s">
        <v>22</v>
      </c>
      <c r="K483" s="2"/>
      <c r="L483" s="2"/>
      <c r="M483" s="2"/>
      <c r="N483" s="271"/>
      <c r="O483" s="272">
        <f>L340</f>
        <v>0</v>
      </c>
      <c r="P483" s="22"/>
    </row>
    <row r="484" spans="2:26">
      <c r="B484" s="20"/>
      <c r="C484" s="1"/>
      <c r="D484" s="2"/>
      <c r="E484" s="2"/>
      <c r="F484" s="2"/>
      <c r="G484" s="271"/>
      <c r="H484" s="272"/>
      <c r="I484" s="2"/>
      <c r="J484" s="1" t="s">
        <v>23</v>
      </c>
      <c r="K484" s="2"/>
      <c r="L484" s="2"/>
      <c r="M484" s="2"/>
      <c r="N484" s="271"/>
      <c r="O484" s="272" t="e">
        <f ca="1">SUM(N485:N486)</f>
        <v>#NAME?</v>
      </c>
      <c r="P484" s="22"/>
    </row>
    <row r="485" spans="2:26">
      <c r="B485" s="20"/>
      <c r="C485" s="74" t="s">
        <v>50</v>
      </c>
      <c r="D485" s="69"/>
      <c r="E485" s="69"/>
      <c r="F485" s="69"/>
      <c r="G485" s="273"/>
      <c r="H485" s="266" t="e">
        <f ca="1">SUM(G486:G489)</f>
        <v>#NAME?</v>
      </c>
      <c r="I485" s="2"/>
      <c r="J485" s="1"/>
      <c r="K485" s="2" t="s">
        <v>24</v>
      </c>
      <c r="L485" s="2"/>
      <c r="M485" s="2"/>
      <c r="N485" s="316"/>
      <c r="O485" s="272"/>
      <c r="P485" s="22"/>
    </row>
    <row r="486" spans="2:26">
      <c r="B486" s="20"/>
      <c r="C486" s="1"/>
      <c r="D486" s="2" t="s">
        <v>51</v>
      </c>
      <c r="E486" s="2"/>
      <c r="F486" s="2"/>
      <c r="G486" s="271" t="e">
        <f ca="1">G471</f>
        <v>#NAME?</v>
      </c>
      <c r="H486" s="272"/>
      <c r="I486" s="2"/>
      <c r="J486" s="1"/>
      <c r="K486" s="2" t="s">
        <v>25</v>
      </c>
      <c r="L486" s="2"/>
      <c r="M486" s="2"/>
      <c r="N486" s="271" t="e">
        <f ca="1">K471</f>
        <v>#NAME?</v>
      </c>
      <c r="O486" s="272"/>
      <c r="P486" s="22"/>
    </row>
    <row r="487" spans="2:26">
      <c r="B487" s="20"/>
      <c r="C487" s="1"/>
      <c r="D487" s="2" t="s">
        <v>52</v>
      </c>
      <c r="E487" s="2"/>
      <c r="F487" s="2"/>
      <c r="G487" s="271">
        <f>G482*0.6</f>
        <v>0</v>
      </c>
      <c r="H487" s="272"/>
      <c r="I487" s="2"/>
      <c r="J487" s="68" t="s">
        <v>239</v>
      </c>
      <c r="K487" s="69"/>
      <c r="L487" s="69"/>
      <c r="M487" s="69"/>
      <c r="N487" s="273"/>
      <c r="O487" s="266" t="e">
        <f ca="1">SUM(O481:O484)</f>
        <v>#NAME?</v>
      </c>
      <c r="P487" s="22"/>
    </row>
    <row r="488" spans="2:26">
      <c r="B488" s="20"/>
      <c r="C488" s="1"/>
      <c r="D488" s="2" t="s">
        <v>53</v>
      </c>
      <c r="E488" s="2"/>
      <c r="F488" s="2"/>
      <c r="G488" s="271">
        <f>H471</f>
        <v>0</v>
      </c>
      <c r="H488" s="272"/>
      <c r="I488" s="2"/>
      <c r="J488" s="16" t="s">
        <v>241</v>
      </c>
      <c r="K488" s="2"/>
      <c r="L488" s="2"/>
      <c r="M488" s="2"/>
      <c r="N488" s="271"/>
      <c r="O488" s="272"/>
      <c r="P488" s="22"/>
    </row>
    <row r="489" spans="2:26">
      <c r="B489" s="20"/>
      <c r="C489" s="1"/>
      <c r="D489" s="2" t="s">
        <v>54</v>
      </c>
      <c r="E489" s="2"/>
      <c r="F489" s="2"/>
      <c r="G489" s="316">
        <v>0</v>
      </c>
      <c r="H489" s="272"/>
      <c r="I489" s="2"/>
      <c r="J489" s="1" t="s">
        <v>26</v>
      </c>
      <c r="K489" s="2"/>
      <c r="L489" s="2"/>
      <c r="M489" s="2"/>
      <c r="N489" s="271"/>
      <c r="O489" s="272" t="e">
        <f ca="1">F213</f>
        <v>#NAME?</v>
      </c>
      <c r="P489" s="22"/>
      <c r="Y489"/>
      <c r="Z489"/>
    </row>
    <row r="490" spans="2:26">
      <c r="B490" s="20"/>
      <c r="C490" s="10" t="s">
        <v>56</v>
      </c>
      <c r="D490" s="5"/>
      <c r="E490" s="5"/>
      <c r="F490" s="5"/>
      <c r="G490" s="269"/>
      <c r="H490" s="270" t="e">
        <f ca="1">H483-H485</f>
        <v>#NAME?</v>
      </c>
      <c r="I490" s="2"/>
      <c r="J490" s="1" t="s">
        <v>27</v>
      </c>
      <c r="K490" s="2"/>
      <c r="L490" s="2"/>
      <c r="M490" s="2"/>
      <c r="N490" s="271"/>
      <c r="O490" s="272" t="e">
        <f ca="1">G213</f>
        <v>#NAME?</v>
      </c>
      <c r="P490" s="22"/>
      <c r="Y490"/>
      <c r="Z490"/>
    </row>
    <row r="491" spans="2:26">
      <c r="B491" s="20"/>
      <c r="C491" s="1"/>
      <c r="D491" s="2"/>
      <c r="E491" s="2"/>
      <c r="F491" s="2"/>
      <c r="G491" s="271"/>
      <c r="H491" s="272"/>
      <c r="I491" s="2"/>
      <c r="J491" s="1" t="s">
        <v>28</v>
      </c>
      <c r="K491" s="2"/>
      <c r="L491" s="2"/>
      <c r="M491" s="2"/>
      <c r="N491" s="271"/>
      <c r="O491" s="272">
        <f>'Año 2'!O133+'Año 3'!H67+'Año 3'!G137</f>
        <v>0</v>
      </c>
      <c r="P491" s="22"/>
      <c r="Y491"/>
      <c r="Z491"/>
    </row>
    <row r="492" spans="2:26">
      <c r="B492" s="20"/>
      <c r="C492" s="74" t="s">
        <v>29</v>
      </c>
      <c r="D492" s="69"/>
      <c r="E492" s="69"/>
      <c r="F492" s="69"/>
      <c r="G492" s="273"/>
      <c r="H492" s="266" t="e">
        <f ca="1">SUM(G493:G495)</f>
        <v>#NAME?</v>
      </c>
      <c r="I492" s="2"/>
      <c r="J492" s="1" t="s">
        <v>29</v>
      </c>
      <c r="K492" s="2"/>
      <c r="L492" s="2"/>
      <c r="M492" s="2"/>
      <c r="N492" s="271"/>
      <c r="O492" s="272" t="e">
        <f ca="1">SUM(N493:N495)</f>
        <v>#NAME?</v>
      </c>
      <c r="P492" s="22"/>
      <c r="Y492"/>
      <c r="Z492"/>
    </row>
    <row r="493" spans="2:26">
      <c r="B493" s="20"/>
      <c r="C493" s="1"/>
      <c r="D493" s="2" t="s">
        <v>26</v>
      </c>
      <c r="E493" s="2"/>
      <c r="F493" s="2"/>
      <c r="G493" s="271" t="e">
        <f ca="1">O489*0.1</f>
        <v>#NAME?</v>
      </c>
      <c r="H493" s="272"/>
      <c r="I493" s="2"/>
      <c r="J493" s="1"/>
      <c r="K493" s="2" t="s">
        <v>26</v>
      </c>
      <c r="L493" s="2"/>
      <c r="M493" s="2"/>
      <c r="N493" s="271" t="e">
        <f ca="1">-(O489*0.1)</f>
        <v>#NAME?</v>
      </c>
      <c r="O493" s="272"/>
      <c r="P493" s="22"/>
      <c r="Y493"/>
      <c r="Z493"/>
    </row>
    <row r="494" spans="2:26">
      <c r="B494" s="20"/>
      <c r="C494" s="1"/>
      <c r="D494" s="2" t="s">
        <v>27</v>
      </c>
      <c r="E494" s="2"/>
      <c r="F494" s="2"/>
      <c r="G494" s="271" t="e">
        <f ca="1">O490*0.1</f>
        <v>#NAME?</v>
      </c>
      <c r="H494" s="272"/>
      <c r="I494" s="2"/>
      <c r="J494" s="1"/>
      <c r="K494" s="2" t="s">
        <v>27</v>
      </c>
      <c r="L494" s="2"/>
      <c r="M494" s="2"/>
      <c r="N494" s="271" t="e">
        <f t="shared" ref="N494" ca="1" si="102">-(O490*0.1)</f>
        <v>#NAME?</v>
      </c>
      <c r="O494" s="272"/>
      <c r="P494" s="22"/>
      <c r="Y494"/>
      <c r="Z494"/>
    </row>
    <row r="495" spans="2:26">
      <c r="B495" s="20"/>
      <c r="C495" s="1"/>
      <c r="D495" s="2" t="s">
        <v>28</v>
      </c>
      <c r="E495" s="2"/>
      <c r="F495" s="2"/>
      <c r="G495" s="271">
        <f>('Año 1'!H43+'Año 1'!H44+'Año 1'!H45+'Año 2'!G55+'Año 2'!G68+'Año 2'!G81)*0.25</f>
        <v>0</v>
      </c>
      <c r="H495" s="272"/>
      <c r="I495" s="2"/>
      <c r="J495" s="1"/>
      <c r="K495" s="2" t="s">
        <v>28</v>
      </c>
      <c r="L495" s="2"/>
      <c r="M495" s="2"/>
      <c r="N495" s="271">
        <f>-('Año 1'!H43+'Año 1'!H44+'Año 1'!H45+'Año 2'!G55+'Año 2'!G68+'Año 2'!G81)*0.25</f>
        <v>0</v>
      </c>
      <c r="O495" s="272"/>
      <c r="P495" s="22"/>
      <c r="Y495"/>
      <c r="Z495"/>
    </row>
    <row r="496" spans="2:26">
      <c r="B496" s="20"/>
      <c r="C496" s="74" t="s">
        <v>55</v>
      </c>
      <c r="D496" s="69"/>
      <c r="E496" s="69"/>
      <c r="F496" s="69"/>
      <c r="G496" s="273"/>
      <c r="H496" s="266" t="e">
        <f ca="1">SUM(G497:G504)</f>
        <v>#NAME?</v>
      </c>
      <c r="I496" s="2"/>
      <c r="J496" s="1" t="s">
        <v>30</v>
      </c>
      <c r="K496" s="2"/>
      <c r="L496" s="2"/>
      <c r="M496" s="2"/>
      <c r="N496" s="271"/>
      <c r="O496" s="272" t="e">
        <f ca="1">IF('Año 2'!O138+'Año 3'!G520&gt;0,'Año 2'!O138+'Año 3'!G520,0)</f>
        <v>#NAME?</v>
      </c>
      <c r="P496" s="22"/>
      <c r="Y496"/>
      <c r="Z496"/>
    </row>
    <row r="497" spans="2:16">
      <c r="B497" s="20"/>
      <c r="C497" s="1"/>
      <c r="D497" s="2" t="s">
        <v>57</v>
      </c>
      <c r="E497" s="2"/>
      <c r="F497" s="2"/>
      <c r="G497" s="274" t="e">
        <f ca="1">14000000+(((M257+M272+M287)/6)*50000)</f>
        <v>#NAME?</v>
      </c>
      <c r="H497" s="272"/>
      <c r="I497" s="2"/>
      <c r="J497" s="68" t="s">
        <v>240</v>
      </c>
      <c r="K497" s="69"/>
      <c r="L497" s="69"/>
      <c r="M497" s="69"/>
      <c r="N497" s="273"/>
      <c r="O497" s="266" t="e">
        <f ca="1">SUM(O489:O496)</f>
        <v>#NAME?</v>
      </c>
      <c r="P497" s="22"/>
    </row>
    <row r="498" spans="2:16">
      <c r="B498" s="20"/>
      <c r="C498" s="1"/>
      <c r="D498" s="2" t="s">
        <v>58</v>
      </c>
      <c r="E498" s="2"/>
      <c r="F498" s="2"/>
      <c r="G498" s="271">
        <f>N257+N272+N287</f>
        <v>0</v>
      </c>
      <c r="H498" s="272"/>
      <c r="I498" s="2"/>
      <c r="J498" s="71" t="s">
        <v>31</v>
      </c>
      <c r="K498" s="72"/>
      <c r="L498" s="72"/>
      <c r="M498" s="72"/>
      <c r="N498" s="281"/>
      <c r="O498" s="282" t="e">
        <f ca="1">O487+O497</f>
        <v>#NAME?</v>
      </c>
      <c r="P498" s="22"/>
    </row>
    <row r="499" spans="2:16">
      <c r="B499" s="20"/>
      <c r="C499" s="1"/>
      <c r="D499" s="2" t="s">
        <v>59</v>
      </c>
      <c r="E499" s="2"/>
      <c r="F499" s="2"/>
      <c r="G499" s="274">
        <v>0</v>
      </c>
      <c r="H499" s="272"/>
      <c r="I499" s="2"/>
      <c r="J499" s="1"/>
      <c r="K499" s="2"/>
      <c r="L499" s="2"/>
      <c r="M499" s="2"/>
      <c r="N499" s="271"/>
      <c r="O499" s="272"/>
      <c r="P499" s="22"/>
    </row>
    <row r="500" spans="2:16">
      <c r="B500" s="20"/>
      <c r="C500" s="1"/>
      <c r="D500" s="2" t="s">
        <v>60</v>
      </c>
      <c r="E500" s="2"/>
      <c r="F500" s="2"/>
      <c r="G500" s="316">
        <v>0</v>
      </c>
      <c r="H500" s="272"/>
      <c r="I500" s="2"/>
      <c r="J500" s="176" t="s">
        <v>32</v>
      </c>
      <c r="K500" s="177"/>
      <c r="L500" s="177"/>
      <c r="M500" s="177"/>
      <c r="N500" s="283"/>
      <c r="O500" s="268"/>
      <c r="P500" s="22"/>
    </row>
    <row r="501" spans="2:16">
      <c r="B501" s="20"/>
      <c r="C501" s="1"/>
      <c r="D501" s="2" t="s">
        <v>195</v>
      </c>
      <c r="E501" s="2"/>
      <c r="F501" s="2"/>
      <c r="G501" s="274">
        <f>H305</f>
        <v>0</v>
      </c>
      <c r="H501" s="272"/>
      <c r="I501" s="2"/>
      <c r="J501" s="16" t="s">
        <v>246</v>
      </c>
      <c r="K501" s="2"/>
      <c r="L501" s="2"/>
      <c r="M501" s="2"/>
      <c r="N501" s="271"/>
      <c r="O501" s="272"/>
      <c r="P501" s="22"/>
    </row>
    <row r="502" spans="2:16">
      <c r="B502" s="20"/>
      <c r="C502" s="1"/>
      <c r="D502" s="2" t="s">
        <v>61</v>
      </c>
      <c r="E502" s="2"/>
      <c r="F502" s="2"/>
      <c r="G502" s="274">
        <f>G480*0.0114</f>
        <v>0</v>
      </c>
      <c r="H502" s="272"/>
      <c r="I502" s="2"/>
      <c r="J502" s="1" t="s">
        <v>33</v>
      </c>
      <c r="K502" s="2"/>
      <c r="L502" s="2"/>
      <c r="M502" s="2"/>
      <c r="N502" s="271"/>
      <c r="O502" s="272">
        <f>E344</f>
        <v>0</v>
      </c>
      <c r="P502" s="22"/>
    </row>
    <row r="503" spans="2:16">
      <c r="B503" s="20"/>
      <c r="C503" s="1"/>
      <c r="D503" s="2" t="s">
        <v>259</v>
      </c>
      <c r="E503" s="2"/>
      <c r="F503" s="2"/>
      <c r="G503" s="274">
        <f>H189</f>
        <v>0</v>
      </c>
      <c r="H503" s="272"/>
      <c r="I503" s="2"/>
      <c r="J503" s="1" t="s">
        <v>42</v>
      </c>
      <c r="K503" s="2"/>
      <c r="L503" s="2"/>
      <c r="M503" s="2"/>
      <c r="N503" s="271"/>
      <c r="O503" s="318">
        <v>0</v>
      </c>
      <c r="P503" s="22"/>
    </row>
    <row r="504" spans="2:16">
      <c r="B504" s="20"/>
      <c r="C504" s="1"/>
      <c r="D504" s="2" t="s">
        <v>245</v>
      </c>
      <c r="E504" s="2"/>
      <c r="F504" s="2"/>
      <c r="G504" s="274">
        <f>L174</f>
        <v>0</v>
      </c>
      <c r="H504" s="272"/>
      <c r="I504" s="2"/>
      <c r="J504" s="1" t="s">
        <v>34</v>
      </c>
      <c r="K504" s="2"/>
      <c r="L504" s="2"/>
      <c r="M504" s="2"/>
      <c r="N504" s="271"/>
      <c r="O504" s="272">
        <f>(L342/I317)</f>
        <v>0</v>
      </c>
      <c r="P504" s="22"/>
    </row>
    <row r="505" spans="2:16">
      <c r="B505" s="20"/>
      <c r="C505" s="10" t="s">
        <v>62</v>
      </c>
      <c r="D505" s="5"/>
      <c r="E505" s="5"/>
      <c r="F505" s="5"/>
      <c r="G505" s="269"/>
      <c r="H505" s="270" t="e">
        <f ca="1">H490-H492-H496</f>
        <v>#NAME?</v>
      </c>
      <c r="I505" s="2"/>
      <c r="J505" s="1" t="s">
        <v>35</v>
      </c>
      <c r="K505" s="2"/>
      <c r="L505" s="2"/>
      <c r="M505" s="2"/>
      <c r="N505" s="271"/>
      <c r="O505" s="272" t="e">
        <f ca="1">IF(G520&lt;0,-'Año 2'!O138-G520,0)</f>
        <v>#NAME?</v>
      </c>
      <c r="P505" s="22"/>
    </row>
    <row r="506" spans="2:16">
      <c r="B506" s="20"/>
      <c r="C506" s="1"/>
      <c r="D506" s="2"/>
      <c r="E506" s="2"/>
      <c r="F506" s="2"/>
      <c r="G506" s="271"/>
      <c r="H506" s="272"/>
      <c r="I506" s="2"/>
      <c r="J506" s="68" t="s">
        <v>242</v>
      </c>
      <c r="K506" s="69"/>
      <c r="L506" s="69"/>
      <c r="M506" s="69"/>
      <c r="N506" s="273"/>
      <c r="O506" s="266" t="e">
        <f ca="1">SUM(O502:O505)</f>
        <v>#NAME?</v>
      </c>
      <c r="P506" s="22"/>
    </row>
    <row r="507" spans="2:16">
      <c r="B507" s="20"/>
      <c r="C507" s="74" t="s">
        <v>63</v>
      </c>
      <c r="D507" s="69"/>
      <c r="E507" s="69"/>
      <c r="F507" s="69"/>
      <c r="G507" s="273"/>
      <c r="H507" s="266">
        <f>G508+G509-G510-G511-G512-G513-G514-G515</f>
        <v>0</v>
      </c>
      <c r="I507" s="2"/>
      <c r="J507" s="16" t="s">
        <v>247</v>
      </c>
      <c r="K507" s="2"/>
      <c r="L507" s="2"/>
      <c r="M507" s="2"/>
      <c r="N507" s="271"/>
      <c r="O507" s="272"/>
      <c r="P507" s="22"/>
    </row>
    <row r="508" spans="2:16">
      <c r="B508" s="20"/>
      <c r="C508" s="1"/>
      <c r="D508" s="2" t="s">
        <v>64</v>
      </c>
      <c r="E508" s="2"/>
      <c r="F508" s="2"/>
      <c r="G508" s="317">
        <f>O483*M322</f>
        <v>0</v>
      </c>
      <c r="H508" s="272"/>
      <c r="I508" s="2"/>
      <c r="J508" s="1" t="s">
        <v>36</v>
      </c>
      <c r="K508" s="2"/>
      <c r="L508" s="2"/>
      <c r="M508" s="2"/>
      <c r="N508" s="271"/>
      <c r="O508" s="272">
        <f>(L342/I317)*(I317-1)</f>
        <v>0</v>
      </c>
      <c r="P508" s="22"/>
    </row>
    <row r="509" spans="2:16">
      <c r="B509" s="20"/>
      <c r="C509" s="1"/>
      <c r="D509" s="2" t="s">
        <v>65</v>
      </c>
      <c r="E509" s="2"/>
      <c r="F509" s="2"/>
      <c r="G509" s="316">
        <v>0</v>
      </c>
      <c r="H509" s="272"/>
      <c r="I509" s="2"/>
      <c r="J509" s="68" t="s">
        <v>243</v>
      </c>
      <c r="K509" s="69"/>
      <c r="L509" s="69"/>
      <c r="M509" s="69"/>
      <c r="N509" s="273"/>
      <c r="O509" s="266">
        <f>SUM(O508)</f>
        <v>0</v>
      </c>
      <c r="P509" s="22"/>
    </row>
    <row r="510" spans="2:16">
      <c r="B510" s="20"/>
      <c r="C510" s="1"/>
      <c r="D510" s="2" t="s">
        <v>66</v>
      </c>
      <c r="E510" s="2"/>
      <c r="F510" s="2"/>
      <c r="G510" s="317">
        <f>(O504+O508)*I319</f>
        <v>0</v>
      </c>
      <c r="H510" s="272"/>
      <c r="I510" s="2"/>
      <c r="J510" s="71" t="s">
        <v>37</v>
      </c>
      <c r="K510" s="72"/>
      <c r="L510" s="72"/>
      <c r="M510" s="72"/>
      <c r="N510" s="281"/>
      <c r="O510" s="282" t="e">
        <f ca="1">O506+O509</f>
        <v>#NAME?</v>
      </c>
      <c r="P510" s="22"/>
    </row>
    <row r="511" spans="2:16">
      <c r="B511" s="20"/>
      <c r="C511" s="1"/>
      <c r="D511" s="2" t="s">
        <v>67</v>
      </c>
      <c r="E511" s="2"/>
      <c r="F511" s="2"/>
      <c r="G511" s="317">
        <f>(O503*M318)+((L341-O503)*M319)</f>
        <v>0</v>
      </c>
      <c r="H511" s="272"/>
      <c r="I511" s="2"/>
      <c r="J511" s="1"/>
      <c r="K511" s="2"/>
      <c r="L511" s="2"/>
      <c r="M511" s="2"/>
      <c r="N511" s="271"/>
      <c r="O511" s="272"/>
      <c r="P511" s="22"/>
    </row>
    <row r="512" spans="2:16">
      <c r="B512" s="20"/>
      <c r="C512" s="1"/>
      <c r="D512" s="2" t="s">
        <v>260</v>
      </c>
      <c r="E512" s="2"/>
      <c r="F512" s="2"/>
      <c r="G512" s="316">
        <v>0</v>
      </c>
      <c r="H512" s="272"/>
      <c r="I512" s="2"/>
      <c r="J512" s="176" t="s">
        <v>38</v>
      </c>
      <c r="K512" s="177"/>
      <c r="L512" s="177"/>
      <c r="M512" s="177"/>
      <c r="N512" s="283"/>
      <c r="O512" s="268"/>
      <c r="P512" s="22"/>
    </row>
    <row r="513" spans="2:19">
      <c r="B513" s="20"/>
      <c r="C513" s="1"/>
      <c r="D513" s="2" t="s">
        <v>68</v>
      </c>
      <c r="E513" s="2"/>
      <c r="F513" s="2"/>
      <c r="G513" s="317">
        <f>(L341*M317)+(L342*I318)+((L340-O483)*M323)</f>
        <v>0</v>
      </c>
      <c r="H513" s="272"/>
      <c r="I513" s="2"/>
      <c r="J513" s="1" t="s">
        <v>39</v>
      </c>
      <c r="K513" s="2"/>
      <c r="L513" s="2"/>
      <c r="M513" s="2"/>
      <c r="N513" s="271"/>
      <c r="O513" s="272">
        <v>5000000000</v>
      </c>
      <c r="P513" s="22"/>
    </row>
    <row r="514" spans="2:19">
      <c r="B514" s="20"/>
      <c r="C514" s="1"/>
      <c r="D514" s="2" t="s">
        <v>69</v>
      </c>
      <c r="E514" s="2"/>
      <c r="F514" s="2"/>
      <c r="G514" s="316">
        <v>0</v>
      </c>
      <c r="H514" s="272"/>
      <c r="I514" s="2"/>
      <c r="J514" s="1" t="s">
        <v>40</v>
      </c>
      <c r="K514" s="2"/>
      <c r="L514" s="2"/>
      <c r="M514" s="2"/>
      <c r="N514" s="271"/>
      <c r="O514" s="272">
        <f>'Año 2'!O156+'Año 2'!O157</f>
        <v>-16100000</v>
      </c>
      <c r="P514" s="22"/>
    </row>
    <row r="515" spans="2:19">
      <c r="B515" s="20"/>
      <c r="C515" s="1"/>
      <c r="D515" s="2" t="s">
        <v>70</v>
      </c>
      <c r="E515" s="2"/>
      <c r="F515" s="2"/>
      <c r="G515" s="316">
        <v>0</v>
      </c>
      <c r="H515" s="272"/>
      <c r="I515" s="2"/>
      <c r="J515" s="1" t="s">
        <v>262</v>
      </c>
      <c r="K515" s="2"/>
      <c r="L515" s="2"/>
      <c r="M515" s="2"/>
      <c r="N515" s="271"/>
      <c r="O515" s="272" t="e">
        <f ca="1">H521</f>
        <v>#NAME?</v>
      </c>
      <c r="P515" s="22"/>
    </row>
    <row r="516" spans="2:19">
      <c r="B516" s="20"/>
      <c r="C516" s="74" t="s">
        <v>71</v>
      </c>
      <c r="D516" s="69"/>
      <c r="E516" s="69"/>
      <c r="F516" s="69"/>
      <c r="G516" s="273"/>
      <c r="H516" s="266">
        <f>G517-G518</f>
        <v>0</v>
      </c>
      <c r="I516" s="2"/>
      <c r="J516" s="71" t="s">
        <v>41</v>
      </c>
      <c r="K516" s="72"/>
      <c r="L516" s="72"/>
      <c r="M516" s="72"/>
      <c r="N516" s="281"/>
      <c r="O516" s="282" t="e">
        <f ca="1">SUM(O513:O515)</f>
        <v>#NAME?</v>
      </c>
      <c r="P516" s="22"/>
    </row>
    <row r="517" spans="2:19" ht="16.5" thickBot="1">
      <c r="B517" s="20"/>
      <c r="C517" s="1"/>
      <c r="D517" s="2" t="s">
        <v>72</v>
      </c>
      <c r="E517" s="2"/>
      <c r="F517" s="2"/>
      <c r="G517" s="316">
        <v>0</v>
      </c>
      <c r="H517" s="272"/>
      <c r="I517" s="2"/>
      <c r="J517" s="8"/>
      <c r="K517" s="9"/>
      <c r="L517" s="9"/>
      <c r="M517" s="9"/>
      <c r="N517" s="284"/>
      <c r="O517" s="285"/>
      <c r="P517" s="22"/>
    </row>
    <row r="518" spans="2:19">
      <c r="B518" s="20"/>
      <c r="C518" s="1"/>
      <c r="D518" s="2" t="s">
        <v>73</v>
      </c>
      <c r="E518" s="2"/>
      <c r="F518" s="2"/>
      <c r="G518" s="316">
        <v>0</v>
      </c>
      <c r="H518" s="272"/>
      <c r="I518" s="2"/>
      <c r="J518" s="2"/>
      <c r="K518" s="2"/>
      <c r="L518" s="2"/>
      <c r="M518" s="2"/>
      <c r="N518" s="2"/>
      <c r="O518" s="2"/>
      <c r="P518" s="22"/>
    </row>
    <row r="519" spans="2:19" ht="16.5" thickBot="1">
      <c r="B519" s="20"/>
      <c r="C519" s="10" t="s">
        <v>75</v>
      </c>
      <c r="D519" s="5"/>
      <c r="E519" s="5"/>
      <c r="F519" s="5"/>
      <c r="G519" s="269"/>
      <c r="H519" s="270" t="e">
        <f ca="1">H505+H507+H516</f>
        <v>#NAME?</v>
      </c>
      <c r="I519" s="2"/>
      <c r="J519" s="2"/>
      <c r="K519" s="2"/>
      <c r="L519" s="2"/>
      <c r="M519" s="2"/>
      <c r="N519" s="2"/>
      <c r="O519" s="2"/>
      <c r="P519" s="22"/>
    </row>
    <row r="520" spans="2:19" ht="21.75" thickBot="1">
      <c r="B520" s="20"/>
      <c r="C520" s="1" t="s">
        <v>74</v>
      </c>
      <c r="D520" s="2"/>
      <c r="E520" s="2"/>
      <c r="F520" s="2"/>
      <c r="G520" s="271" t="e">
        <f ca="1">-H519*0.3</f>
        <v>#NAME?</v>
      </c>
      <c r="H520" s="272"/>
      <c r="I520" s="2"/>
      <c r="J520" s="117" t="s">
        <v>77</v>
      </c>
      <c r="K520" s="118"/>
      <c r="L520" s="118"/>
      <c r="M520" s="118"/>
      <c r="N520" s="118"/>
      <c r="O520" s="119"/>
      <c r="P520" s="22"/>
    </row>
    <row r="521" spans="2:19" ht="16.5" thickBot="1">
      <c r="B521" s="20"/>
      <c r="C521" s="11" t="s">
        <v>76</v>
      </c>
      <c r="D521" s="12"/>
      <c r="E521" s="12"/>
      <c r="F521" s="12"/>
      <c r="G521" s="275"/>
      <c r="H521" s="276" t="e">
        <f ca="1">H519+G520</f>
        <v>#NAME?</v>
      </c>
      <c r="I521" s="56"/>
      <c r="J521" s="33"/>
      <c r="K521" s="34"/>
      <c r="L521" s="34"/>
      <c r="M521" s="34"/>
      <c r="N521" s="34"/>
      <c r="O521" s="35"/>
      <c r="P521" s="22"/>
    </row>
    <row r="522" spans="2:19">
      <c r="B522" s="20"/>
      <c r="C522" s="2"/>
      <c r="D522" s="2"/>
      <c r="E522" s="2"/>
      <c r="F522" s="2"/>
      <c r="G522" s="2"/>
      <c r="H522" s="2"/>
      <c r="I522" s="2"/>
      <c r="J522" s="1"/>
      <c r="K522" s="2"/>
      <c r="L522" s="2"/>
      <c r="M522" s="2"/>
      <c r="N522" s="62" t="s">
        <v>200</v>
      </c>
      <c r="O522" s="13" t="s">
        <v>201</v>
      </c>
      <c r="P522" s="22"/>
    </row>
    <row r="523" spans="2:19">
      <c r="B523" s="20"/>
      <c r="C523" s="2"/>
      <c r="D523" s="2"/>
      <c r="E523" s="2"/>
      <c r="F523" s="2"/>
      <c r="G523" s="2"/>
      <c r="H523" s="2"/>
      <c r="I523" s="2"/>
      <c r="J523" s="14" t="s">
        <v>78</v>
      </c>
      <c r="K523" s="6"/>
      <c r="L523" s="6"/>
      <c r="M523" s="6"/>
      <c r="N523" s="6"/>
      <c r="O523" s="15"/>
      <c r="P523" s="22"/>
    </row>
    <row r="524" spans="2:19">
      <c r="B524" s="20"/>
      <c r="C524" s="2"/>
      <c r="D524" s="2"/>
      <c r="E524" s="2"/>
      <c r="F524" s="2"/>
      <c r="G524" s="2"/>
      <c r="H524" s="2"/>
      <c r="I524" s="2"/>
      <c r="J524" s="1" t="s">
        <v>79</v>
      </c>
      <c r="K524" s="2"/>
      <c r="L524" s="2"/>
      <c r="M524" s="2"/>
      <c r="N524" s="319">
        <f>H483</f>
        <v>0</v>
      </c>
      <c r="O524" s="272">
        <f>'Año 2'!N166</f>
        <v>0</v>
      </c>
      <c r="P524" s="22"/>
      <c r="S524" s="82"/>
    </row>
    <row r="525" spans="2:19">
      <c r="B525" s="20"/>
      <c r="C525" s="2"/>
      <c r="D525" s="2"/>
      <c r="E525" s="2"/>
      <c r="F525" s="2"/>
      <c r="G525" s="2"/>
      <c r="H525" s="2"/>
      <c r="I525" s="2"/>
      <c r="J525" s="1" t="s">
        <v>80</v>
      </c>
      <c r="K525" s="2"/>
      <c r="L525" s="2"/>
      <c r="M525" s="2"/>
      <c r="N525" s="319" t="e">
        <f ca="1">-(H485+H496+G518)</f>
        <v>#NAME?</v>
      </c>
      <c r="O525" s="272">
        <f>'Año 2'!N167</f>
        <v>-14000000</v>
      </c>
      <c r="P525" s="22"/>
    </row>
    <row r="526" spans="2:19">
      <c r="B526" s="20"/>
      <c r="C526" s="2"/>
      <c r="D526" s="2"/>
      <c r="E526" s="2"/>
      <c r="F526" s="2"/>
      <c r="G526" s="2"/>
      <c r="H526" s="2"/>
      <c r="I526" s="2"/>
      <c r="J526" s="1" t="s">
        <v>261</v>
      </c>
      <c r="K526" s="2"/>
      <c r="L526" s="2"/>
      <c r="M526" s="2"/>
      <c r="N526" s="319">
        <f>-O482-O526</f>
        <v>0</v>
      </c>
      <c r="O526" s="272">
        <f>'Año 2'!N168</f>
        <v>0</v>
      </c>
      <c r="P526" s="22"/>
    </row>
    <row r="527" spans="2:19">
      <c r="B527" s="20"/>
      <c r="C527" s="2"/>
      <c r="D527" s="2"/>
      <c r="E527" s="2"/>
      <c r="F527" s="2"/>
      <c r="G527" s="2"/>
      <c r="H527" s="2"/>
      <c r="I527" s="2"/>
      <c r="J527" s="1" t="s">
        <v>81</v>
      </c>
      <c r="K527" s="2"/>
      <c r="L527" s="2"/>
      <c r="M527" s="2"/>
      <c r="N527" s="319">
        <f>O502-'Año 2'!N144</f>
        <v>0</v>
      </c>
      <c r="O527" s="272">
        <f>'Año 2'!N169</f>
        <v>0</v>
      </c>
      <c r="P527" s="22"/>
    </row>
    <row r="528" spans="2:19">
      <c r="B528" s="20"/>
      <c r="C528" s="2"/>
      <c r="D528" s="2"/>
      <c r="E528" s="2"/>
      <c r="F528" s="2"/>
      <c r="G528" s="2"/>
      <c r="H528" s="2"/>
      <c r="I528" s="2"/>
      <c r="J528" s="1" t="s">
        <v>82</v>
      </c>
      <c r="K528" s="2"/>
      <c r="L528" s="2"/>
      <c r="M528" s="2"/>
      <c r="N528" s="319" t="e">
        <f ca="1">-O484+'Año 2'!N126</f>
        <v>#NAME?</v>
      </c>
      <c r="O528" s="272">
        <f>'Año 2'!N170</f>
        <v>0</v>
      </c>
      <c r="P528" s="22"/>
    </row>
    <row r="529" spans="2:16">
      <c r="B529" s="1"/>
      <c r="C529" s="2"/>
      <c r="D529" s="2"/>
      <c r="E529" s="2"/>
      <c r="F529" s="2"/>
      <c r="G529" s="2"/>
      <c r="H529" s="2"/>
      <c r="I529" s="2"/>
      <c r="J529" s="1" t="s">
        <v>83</v>
      </c>
      <c r="K529" s="2"/>
      <c r="L529" s="2"/>
      <c r="M529" s="2"/>
      <c r="N529" s="319">
        <f>-('Año 2'!N147)</f>
        <v>0</v>
      </c>
      <c r="O529" s="272">
        <f>'Año 2'!N171</f>
        <v>0</v>
      </c>
      <c r="P529" s="3"/>
    </row>
    <row r="530" spans="2:16">
      <c r="B530" s="1"/>
      <c r="C530" s="2"/>
      <c r="D530" s="2"/>
      <c r="E530" s="2"/>
      <c r="F530" s="2"/>
      <c r="G530" s="2"/>
      <c r="H530" s="2"/>
      <c r="I530" s="2"/>
      <c r="J530" s="16" t="s">
        <v>78</v>
      </c>
      <c r="K530" s="2"/>
      <c r="L530" s="2"/>
      <c r="M530" s="2"/>
      <c r="N530" s="320" t="e">
        <f ca="1">SUM(N524:N529)</f>
        <v>#NAME?</v>
      </c>
      <c r="O530" s="295">
        <f>SUM(O524:O529)</f>
        <v>-14000000</v>
      </c>
      <c r="P530" s="3"/>
    </row>
    <row r="531" spans="2:16">
      <c r="B531" s="1"/>
      <c r="C531" s="2"/>
      <c r="D531" s="2"/>
      <c r="E531" s="2"/>
      <c r="F531" s="2"/>
      <c r="G531" s="2"/>
      <c r="H531" s="2"/>
      <c r="I531" s="2"/>
      <c r="J531" s="14" t="s">
        <v>84</v>
      </c>
      <c r="K531" s="6"/>
      <c r="L531" s="6"/>
      <c r="M531" s="6"/>
      <c r="N531" s="321"/>
      <c r="O531" s="296"/>
      <c r="P531" s="3"/>
    </row>
    <row r="532" spans="2:16">
      <c r="B532" s="1"/>
      <c r="C532" s="2"/>
      <c r="D532" s="2"/>
      <c r="E532" s="2"/>
      <c r="F532" s="2"/>
      <c r="G532" s="2"/>
      <c r="H532" s="2"/>
      <c r="I532" s="2"/>
      <c r="J532" s="1" t="s">
        <v>22</v>
      </c>
      <c r="K532" s="2"/>
      <c r="L532" s="2"/>
      <c r="M532" s="2"/>
      <c r="N532" s="319">
        <f>-O483</f>
        <v>0</v>
      </c>
      <c r="O532" s="272">
        <f>'Año 2'!N174</f>
        <v>0</v>
      </c>
      <c r="P532" s="3"/>
    </row>
    <row r="533" spans="2:16">
      <c r="B533" s="1"/>
      <c r="C533" s="2"/>
      <c r="D533" s="2"/>
      <c r="E533" s="2"/>
      <c r="F533" s="2"/>
      <c r="G533" s="2"/>
      <c r="H533" s="2"/>
      <c r="I533" s="2"/>
      <c r="J533" s="1" t="s">
        <v>86</v>
      </c>
      <c r="K533" s="2"/>
      <c r="L533" s="2"/>
      <c r="M533" s="2"/>
      <c r="N533" s="319">
        <f>G508+G509</f>
        <v>0</v>
      </c>
      <c r="O533" s="272">
        <f>'Año 2'!N175</f>
        <v>0</v>
      </c>
      <c r="P533" s="3"/>
    </row>
    <row r="534" spans="2:16">
      <c r="B534" s="1"/>
      <c r="C534" s="2"/>
      <c r="D534" s="2"/>
      <c r="E534" s="2"/>
      <c r="F534" s="2"/>
      <c r="G534" s="2"/>
      <c r="H534" s="2"/>
      <c r="I534" s="2"/>
      <c r="J534" s="1" t="s">
        <v>87</v>
      </c>
      <c r="K534" s="2"/>
      <c r="L534" s="2"/>
      <c r="M534" s="2"/>
      <c r="N534" s="319" t="e">
        <f ca="1">-(O489+O490+O491-'Año 2'!O131-'Año 2'!O132-'Año 2'!O133)</f>
        <v>#NAME?</v>
      </c>
      <c r="O534" s="272">
        <f>'Año 2'!N176</f>
        <v>0</v>
      </c>
      <c r="P534" s="3"/>
    </row>
    <row r="535" spans="2:16">
      <c r="B535" s="1"/>
      <c r="C535" s="2"/>
      <c r="D535" s="2"/>
      <c r="E535" s="2"/>
      <c r="F535" s="2"/>
      <c r="G535" s="2"/>
      <c r="H535" s="2"/>
      <c r="I535" s="2"/>
      <c r="J535" s="17" t="s">
        <v>84</v>
      </c>
      <c r="K535" s="2"/>
      <c r="L535" s="2"/>
      <c r="M535" s="2"/>
      <c r="N535" s="320" t="e">
        <f ca="1">SUM(N532:N534)</f>
        <v>#NAME?</v>
      </c>
      <c r="O535" s="295">
        <f>SUM(O532:O534)</f>
        <v>0</v>
      </c>
      <c r="P535" s="3"/>
    </row>
    <row r="536" spans="2:16">
      <c r="B536" s="1"/>
      <c r="C536" s="2"/>
      <c r="D536" s="2"/>
      <c r="E536" s="2"/>
      <c r="F536" s="2"/>
      <c r="G536" s="2"/>
      <c r="H536" s="2"/>
      <c r="I536" s="2"/>
      <c r="J536" s="14" t="s">
        <v>85</v>
      </c>
      <c r="K536" s="6"/>
      <c r="L536" s="6"/>
      <c r="M536" s="6"/>
      <c r="N536" s="321"/>
      <c r="O536" s="296"/>
      <c r="P536" s="3"/>
    </row>
    <row r="537" spans="2:16">
      <c r="B537" s="1"/>
      <c r="C537" s="2"/>
      <c r="D537" s="2"/>
      <c r="E537" s="2"/>
      <c r="F537" s="2"/>
      <c r="G537" s="2"/>
      <c r="H537" s="2"/>
      <c r="I537" s="2"/>
      <c r="J537" s="1" t="s">
        <v>88</v>
      </c>
      <c r="K537" s="2"/>
      <c r="L537" s="2"/>
      <c r="M537" s="2"/>
      <c r="N537" s="319">
        <f>O503+O504+O508-'Año 2'!N145-'Año 2'!N146</f>
        <v>0</v>
      </c>
      <c r="O537" s="272">
        <f>'Año 2'!N179</f>
        <v>0</v>
      </c>
      <c r="P537" s="3"/>
    </row>
    <row r="538" spans="2:16">
      <c r="B538" s="1"/>
      <c r="C538" s="2"/>
      <c r="D538" s="2"/>
      <c r="E538" s="2"/>
      <c r="F538" s="2"/>
      <c r="G538" s="2"/>
      <c r="H538" s="2"/>
      <c r="I538" s="2"/>
      <c r="J538" s="1" t="s">
        <v>258</v>
      </c>
      <c r="K538" s="2"/>
      <c r="L538" s="2"/>
      <c r="M538" s="2"/>
      <c r="N538" s="319">
        <f>-(G510+G511+G513+G512+G514+G515)</f>
        <v>0</v>
      </c>
      <c r="O538" s="272">
        <f>'Año 2'!N180</f>
        <v>0</v>
      </c>
      <c r="P538" s="3"/>
    </row>
    <row r="539" spans="2:16">
      <c r="B539" s="1"/>
      <c r="C539" s="2"/>
      <c r="D539" s="2"/>
      <c r="E539" s="2"/>
      <c r="F539" s="2"/>
      <c r="G539" s="2"/>
      <c r="H539" s="2"/>
      <c r="I539" s="2"/>
      <c r="J539" s="17" t="s">
        <v>85</v>
      </c>
      <c r="K539" s="2"/>
      <c r="L539" s="2"/>
      <c r="M539" s="2"/>
      <c r="N539" s="320">
        <f>SUM(N537:N538)</f>
        <v>0</v>
      </c>
      <c r="O539" s="295">
        <f>SUM(O537:O538)</f>
        <v>0</v>
      </c>
      <c r="P539" s="3"/>
    </row>
    <row r="540" spans="2:16">
      <c r="B540" s="1"/>
      <c r="C540" s="2"/>
      <c r="D540" s="2"/>
      <c r="E540" s="2"/>
      <c r="F540" s="2"/>
      <c r="G540" s="2"/>
      <c r="H540" s="2"/>
      <c r="I540" s="2"/>
      <c r="J540" s="17"/>
      <c r="L540" s="2"/>
      <c r="M540" s="2"/>
      <c r="N540" s="322"/>
      <c r="O540" s="295"/>
      <c r="P540" s="3"/>
    </row>
    <row r="541" spans="2:16">
      <c r="B541" s="1"/>
      <c r="C541" s="2"/>
      <c r="D541" s="2"/>
      <c r="E541" s="2"/>
      <c r="F541" s="2"/>
      <c r="G541" s="2"/>
      <c r="H541" s="2"/>
      <c r="I541" s="2"/>
      <c r="J541" s="17" t="s">
        <v>248</v>
      </c>
      <c r="L541" s="2"/>
      <c r="M541" s="2"/>
      <c r="N541" s="323" t="e">
        <f ca="1">N530+N535+N539</f>
        <v>#NAME?</v>
      </c>
      <c r="O541" s="295">
        <f>O530+O535+O539</f>
        <v>-14000000</v>
      </c>
      <c r="P541" s="3"/>
    </row>
    <row r="542" spans="2:16">
      <c r="B542" s="1"/>
      <c r="C542" s="2"/>
      <c r="D542" s="2"/>
      <c r="E542" s="2"/>
      <c r="F542" s="2"/>
      <c r="G542" s="2"/>
      <c r="H542" s="2"/>
      <c r="I542" s="2"/>
      <c r="J542" s="1"/>
      <c r="L542" s="2"/>
      <c r="M542" s="2"/>
      <c r="N542" s="322"/>
      <c r="O542" s="272"/>
      <c r="P542" s="3"/>
    </row>
    <row r="543" spans="2:16">
      <c r="B543" s="1"/>
      <c r="C543" s="2"/>
      <c r="D543" s="2"/>
      <c r="E543" s="2"/>
      <c r="F543" s="2"/>
      <c r="G543" s="2"/>
      <c r="H543" s="2"/>
      <c r="I543" s="2"/>
      <c r="J543" s="16" t="s">
        <v>89</v>
      </c>
      <c r="K543" s="2"/>
      <c r="L543" s="2"/>
      <c r="M543" s="2"/>
      <c r="N543" s="320">
        <f>O545</f>
        <v>4977000000</v>
      </c>
      <c r="O543" s="295">
        <f>'Año 2'!N185</f>
        <v>4991000000</v>
      </c>
      <c r="P543" s="3"/>
    </row>
    <row r="544" spans="2:16">
      <c r="B544" s="1"/>
      <c r="C544" s="2"/>
      <c r="D544" s="2"/>
      <c r="E544" s="2"/>
      <c r="F544" s="2"/>
      <c r="G544" s="2"/>
      <c r="H544" s="2"/>
      <c r="I544" s="2"/>
      <c r="J544" s="1"/>
      <c r="K544" s="2"/>
      <c r="L544" s="2"/>
      <c r="M544" s="2"/>
      <c r="N544" s="320"/>
      <c r="O544" s="272"/>
      <c r="P544" s="3"/>
    </row>
    <row r="545" spans="2:18">
      <c r="B545" s="1"/>
      <c r="C545" s="2"/>
      <c r="D545" s="2"/>
      <c r="E545" s="2"/>
      <c r="F545" s="2"/>
      <c r="G545" s="2"/>
      <c r="H545" s="2"/>
      <c r="I545" s="2"/>
      <c r="J545" s="16" t="s">
        <v>90</v>
      </c>
      <c r="K545" s="2"/>
      <c r="L545" s="2"/>
      <c r="M545" s="2"/>
      <c r="N545" s="320" t="e">
        <f ca="1">N543+N541</f>
        <v>#NAME?</v>
      </c>
      <c r="O545" s="295">
        <f>'Año 2'!N187</f>
        <v>4977000000</v>
      </c>
      <c r="P545" s="3"/>
    </row>
    <row r="546" spans="2:18" ht="16.5" thickBot="1">
      <c r="B546" s="1"/>
      <c r="C546" s="2"/>
      <c r="D546" s="2"/>
      <c r="E546" s="2"/>
      <c r="F546" s="2"/>
      <c r="G546" s="2"/>
      <c r="H546" s="2"/>
      <c r="I546" s="2"/>
      <c r="J546" s="8"/>
      <c r="K546" s="9"/>
      <c r="L546" s="9"/>
      <c r="M546" s="9"/>
      <c r="N546" s="63"/>
      <c r="O546" s="38"/>
      <c r="P546" s="3"/>
    </row>
    <row r="547" spans="2:18"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62"/>
      <c r="O547" s="262"/>
      <c r="P547" s="3"/>
    </row>
    <row r="548" spans="2:18" ht="16.5" thickBot="1">
      <c r="B548" s="8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39"/>
    </row>
    <row r="549" spans="2:18">
      <c r="B549" s="2"/>
      <c r="C549" s="2"/>
    </row>
    <row r="550" spans="2:18">
      <c r="B550" s="2"/>
      <c r="C550" s="2"/>
    </row>
    <row r="551" spans="2:18">
      <c r="B551" s="2"/>
      <c r="C551" s="2"/>
      <c r="P551" s="21"/>
    </row>
    <row r="552" spans="2:18">
      <c r="B552" s="2"/>
      <c r="C552" s="2"/>
      <c r="P552" s="21"/>
    </row>
    <row r="553" spans="2:18">
      <c r="P553" s="21"/>
    </row>
    <row r="554" spans="2:18">
      <c r="Q554" s="21"/>
      <c r="R554" s="21"/>
    </row>
  </sheetData>
  <mergeCells count="7">
    <mergeCell ref="D398:G398"/>
    <mergeCell ref="D412:G412"/>
    <mergeCell ref="D384:G384"/>
    <mergeCell ref="C40:C43"/>
    <mergeCell ref="C32:C35"/>
    <mergeCell ref="C36:C39"/>
    <mergeCell ref="D181:E181"/>
  </mergeCells>
  <dataValidations count="32">
    <dataValidation type="list" allowBlank="1" showInputMessage="1" showErrorMessage="1" sqref="G99:G106 G125:G132 G112:G119">
      <formula1>"Sí"</formula1>
    </dataValidation>
    <dataValidation type="decimal" allowBlank="1" showInputMessage="1" showErrorMessage="1" errorTitle="Margen del concesionario" error="El valor debe estar entre 1% y 25%." sqref="E154">
      <formula1>0.01</formula1>
      <formula2>0.25</formula2>
    </dataValidation>
    <dataValidation type="list" allowBlank="1" showInputMessage="1" showErrorMessage="1" sqref="F349 G182:G188 I154:I156">
      <formula1>"Sí,No"</formula1>
    </dataValidation>
    <dataValidation type="whole" allowBlank="1" showInputMessage="1" showErrorMessage="1" errorTitle="Años de garantía" error="Los años de garantía deben ser entre 1 y 4." sqref="D305">
      <formula1>0</formula1>
      <formula2>4</formula2>
    </dataValidation>
    <dataValidation type="decimal" allowBlank="1" showInputMessage="1" showErrorMessage="1" errorTitle="Incremento por incentivos." error="El porcentaje debe ser entre 0% y 33%." sqref="L287 L257 L272">
      <formula1>0</formula1>
      <formula2>0.33</formula2>
    </dataValidation>
    <dataValidation type="whole" allowBlank="1" showInputMessage="1" showErrorMessage="1" errorTitle="Número de distribuidores" error="El valor debe estar entre 300 y 6.000." sqref="D154">
      <formula1>300</formula1>
      <formula2>6000</formula2>
    </dataValidation>
    <dataValidation type="whole" allowBlank="1" showInputMessage="1" showErrorMessage="1" error="El número de inseciones debe estar entre 1 y 9.000." sqref="K165:K173">
      <formula1>0</formula1>
      <formula2>9000</formula2>
    </dataValidation>
    <dataValidation type="whole" allowBlank="1" showInputMessage="1" showErrorMessage="1" errorTitle="Inversiones financieras." error="El valor debe ser entre 0 y 9.999.999.999." sqref="L340">
      <formula1>0</formula1>
      <formula2>9999999999</formula2>
    </dataValidation>
    <dataValidation type="whole" allowBlank="1" showInputMessage="1" showErrorMessage="1" errorTitle="Pólizas de crédito." error="El valor debe ser entre 0 y 9.999.999.999." sqref="L341">
      <formula1>0</formula1>
      <formula2>9999999999</formula2>
    </dataValidation>
    <dataValidation type="whole" allowBlank="1" showInputMessage="1" showErrorMessage="1" errorTitle="Préstamo." error="El valor debe ser entre 0 y 9.999.999.999." sqref="L342 G349">
      <formula1>0</formula1>
      <formula2>9999999999</formula2>
    </dataValidation>
    <dataValidation type="whole" allowBlank="1" showInputMessage="1" showErrorMessage="1" errorTitle="Préstamo a amortizar." error="El valor debe ser entre 0 y 9.999.999.999." sqref="L343">
      <formula1>0</formula1>
      <formula2>9999999999</formula2>
    </dataValidation>
    <dataValidation type="whole" allowBlank="1" showInputMessage="1" showErrorMessage="1" errorTitle="RSC" error="El valor debe ser entre 0 y 400.000.000." sqref="H305">
      <formula1>0</formula1>
      <formula2>400000000</formula2>
    </dataValidation>
    <dataValidation type="list" allowBlank="1" showInputMessage="1" showErrorMessage="1" sqref="D341:D343 D349">
      <formula1>"0,60,90,120"</formula1>
    </dataValidation>
    <dataValidation type="whole" allowBlank="1" showInputMessage="1" showErrorMessage="1" errorTitle="Campaña publicitaria" error="El número de campaña debe ser entre 1 y 20." sqref="D165">
      <formula1>1</formula1>
      <formula2>20</formula2>
    </dataValidation>
    <dataValidation type="list" allowBlank="1" showInputMessage="1" showErrorMessage="1" sqref="J210:J217">
      <formula1>"TR1,TR2,TR3,TR4,TR5"</formula1>
    </dataValidation>
    <dataValidation type="list" allowBlank="1" showInputMessage="1" showErrorMessage="1" sqref="F137:F144 F99:F106 F125:F132">
      <formula1>"T1,T2,T3"</formula1>
    </dataValidation>
    <dataValidation type="list" allowBlank="1" showInputMessage="1" showErrorMessage="1" sqref="E137:E144 E125:E132">
      <formula1>"O1,O2,O3"</formula1>
    </dataValidation>
    <dataValidation type="list" allowBlank="1" showInputMessage="1" showErrorMessage="1" sqref="C137:C144 C99:C106 C112:C119 C125:C132">
      <formula1>"ICE,HYB,ELE"</formula1>
    </dataValidation>
    <dataValidation type="list" allowBlank="1" showInputMessage="1" showErrorMessage="1" sqref="D137:D144">
      <formula1>"90,105,115,120,135,150,165,180,195,210,225"</formula1>
    </dataValidation>
    <dataValidation type="list" allowBlank="1" showInputMessage="1" showErrorMessage="1" sqref="I210:I217">
      <formula1>"SA1,SA2,SA3,SA4,SA5,SA6,SA7,SA8"</formula1>
    </dataValidation>
    <dataValidation type="list" allowBlank="1" showInputMessage="1" showErrorMessage="1" sqref="G287 G257 G272">
      <formula1>"1,2"</formula1>
    </dataValidation>
    <dataValidation type="decimal" allowBlank="1" showInputMessage="1" showErrorMessage="1" errorTitle="Objetivo de productividad" error="El valor debe estar ente 0% y 50%." sqref="J287 J257 J272">
      <formula1>0</formula1>
      <formula2>0.5</formula2>
    </dataValidation>
    <dataValidation type="list" allowBlank="1" showInputMessage="1" showErrorMessage="1" sqref="C67">
      <formula1>"S3,S4,S5"</formula1>
    </dataValidation>
    <dataValidation type="list" allowBlank="1" showInputMessage="1" showErrorMessage="1" sqref="E210:E212">
      <formula1>"0,TR1,TR2,TR3,TR4,TR5"</formula1>
    </dataValidation>
    <dataValidation type="whole" allowBlank="1" showInputMessage="1" showErrorMessage="1" errorTitle="Coste medio anual por operario." error="El valor está fuera de rango. Mire el menú información." sqref="K257 K272">
      <formula1>F238</formula1>
      <formula2>G238</formula2>
    </dataValidation>
    <dataValidation type="list" allowBlank="1" showInputMessage="1" showErrorMessage="1" sqref="D99:D106">
      <formula1>"115,135,150,165,180,195,210"</formula1>
    </dataValidation>
    <dataValidation type="list" allowBlank="1" showInputMessage="1" showErrorMessage="1" sqref="E99:E106 E112:E119">
      <formula1>"O2,O3"</formula1>
    </dataValidation>
    <dataValidation type="list" allowBlank="1" showInputMessage="1" showErrorMessage="1" sqref="D112:D119">
      <formula1>"135,150,165,180,195,210,225"</formula1>
    </dataValidation>
    <dataValidation type="list" allowBlank="1" showInputMessage="1" showErrorMessage="1" sqref="F112:F119">
      <formula1>"T2,T3"</formula1>
    </dataValidation>
    <dataValidation type="list" allowBlank="1" showInputMessage="1" showErrorMessage="1" sqref="D125:D132">
      <formula1>"90,105,120,135,150,165,180,195,210,225"</formula1>
    </dataValidation>
    <dataValidation type="whole" allowBlank="1" showInputMessage="1" showErrorMessage="1" errorTitle="Coste medio anual por operario." error="El valor está fuera de rango. Mire el menú información." sqref="K287">
      <formula1>F238</formula1>
      <formula2>G238</formula2>
    </dataValidation>
    <dataValidation type="list" allowBlank="1" showInputMessage="1" showErrorMessage="1" sqref="N257 N272 N287">
      <formula1>"38000000,50000000,66000000,90000000,94000000,130000000,125000000,170000000,160000000,210000000"</formula1>
    </dataValidation>
  </dataValidations>
  <pageMargins left="0.7" right="0.7" top="0.75" bottom="0.75" header="0.3" footer="0.3"/>
  <extLst xmlns:xr="http://schemas.microsoft.com/office/spreadsheetml/2014/revision"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0000000-000E-0000-0200-000001000000}">
            <xm:f>IF('Año 2'!C55&lt;&gt;0,1,0)</xm:f>
            <x14:dxf>
              <fill>
                <patternFill>
                  <bgColor theme="8" tint="0.79998168889431442"/>
                </patternFill>
              </fill>
            </x14:dxf>
          </x14:cfRule>
          <xm:sqref>C99:F106 C112:F119 C125:F132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63755D5-BE26-8F43-8585-08527FE6D864}">
          <x14:formula1>
            <xm:f>'Año 2'!$C$110:$C$112</xm:f>
          </x14:formula1>
          <xm:sqref>E257 E287 E272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Año 1</vt:lpstr>
      <vt:lpstr>Año 2</vt:lpstr>
      <vt:lpstr>Año 3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Praxis MMT</dc:creator>
  <cp:lastModifiedBy>econofran@gmail.com</cp:lastModifiedBy>
  <dcterms:created xsi:type="dcterms:W3CDTF">2019-08-02T09:39:59Z</dcterms:created>
  <dcterms:modified xsi:type="dcterms:W3CDTF">2021-11-09T09:46:42Z</dcterms:modified>
</cp:coreProperties>
</file>